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tables/table1.xml" ContentType="application/vnd.openxmlformats-officedocument.spreadsheetml.table+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fileSharing readOnlyRecommended="1"/>
  <workbookPr/>
  <mc:AlternateContent xmlns:mc="http://schemas.openxmlformats.org/markup-compatibility/2006">
    <mc:Choice Requires="x15">
      <x15ac:absPath xmlns:x15ac="http://schemas.microsoft.com/office/spreadsheetml/2010/11/ac" url="C:\Users\eva.lerner\Dropbox\CSH Services Budget Tool\"/>
    </mc:Choice>
  </mc:AlternateContent>
  <xr:revisionPtr revIDLastSave="0" documentId="13_ncr:1_{E1F27DAE-2340-48AC-B310-FCA895A1E23A}" xr6:coauthVersionLast="47" xr6:coauthVersionMax="47" xr10:uidLastSave="{00000000-0000-0000-0000-000000000000}"/>
  <bookViews>
    <workbookView xWindow="-120" yWindow="-120" windowWidth="29040" windowHeight="15840" tabRatio="764" xr2:uid="{00000000-000D-0000-FFFF-FFFF00000000}"/>
  </bookViews>
  <sheets>
    <sheet name="1. About the Service BudgetTool" sheetId="8" r:id="rId1"/>
    <sheet name="2a. Budget Summary Output" sheetId="2" r:id="rId2"/>
    <sheet name="2b. Annual Total Budget Summary" sheetId="25" r:id="rId3"/>
    <sheet name="3. Basic Input &amp; Assumptions" sheetId="19" r:id="rId4"/>
    <sheet name="4. ACT" sheetId="10" r:id="rId5"/>
    <sheet name="5. ICM" sheetId="27" r:id="rId6"/>
    <sheet name="6. TSS" sheetId="28" r:id="rId7"/>
    <sheet name="7. CTI" sheetId="12" r:id="rId8"/>
    <sheet name="8. General Startup Costs" sheetId="23" r:id="rId9"/>
    <sheet name="9. Medicaid Admin Costs" sheetId="22" r:id="rId10"/>
    <sheet name="LISTS - DO NOT EDIT" sheetId="24" state="hidden" r:id="rId11"/>
  </sheets>
  <definedNames>
    <definedName name="_xlnm.Print_Area" localSheetId="0">'1. About the Service BudgetTool'!$A$2:$X$34</definedName>
    <definedName name="_xlnm.Print_Area" localSheetId="9">'9. Medicaid Admin Costs'!$B$1:$K$70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12" l="1"/>
  <c r="D21" i="12"/>
  <c r="D27" i="12" l="1"/>
  <c r="D23" i="10"/>
  <c r="D28" i="10" s="1"/>
  <c r="D52" i="10"/>
  <c r="G13" i="12" l="1"/>
  <c r="G14" i="12"/>
  <c r="E13" i="12"/>
  <c r="E14" i="12"/>
  <c r="G12" i="12"/>
  <c r="E12" i="12"/>
  <c r="G13" i="28"/>
  <c r="G14" i="28"/>
  <c r="G15" i="28"/>
  <c r="G16" i="28"/>
  <c r="G17" i="28"/>
  <c r="E13" i="28"/>
  <c r="E14" i="28"/>
  <c r="E15" i="28"/>
  <c r="E16" i="28"/>
  <c r="E17" i="28"/>
  <c r="G12" i="28"/>
  <c r="E12" i="28"/>
  <c r="G13" i="27"/>
  <c r="G14" i="27"/>
  <c r="G15" i="27"/>
  <c r="G16" i="27"/>
  <c r="G17" i="27"/>
  <c r="E13" i="27"/>
  <c r="E14" i="27"/>
  <c r="E15" i="27"/>
  <c r="E16" i="27"/>
  <c r="E17" i="27"/>
  <c r="G12" i="27"/>
  <c r="E12" i="27"/>
  <c r="F18" i="28"/>
  <c r="D18" i="28"/>
  <c r="F18" i="27"/>
  <c r="D18" i="27"/>
  <c r="E38" i="12"/>
  <c r="D38" i="12"/>
  <c r="E43" i="28"/>
  <c r="E50" i="27"/>
  <c r="D50" i="27"/>
  <c r="E38" i="10"/>
  <c r="D38" i="10"/>
  <c r="E80" i="12"/>
  <c r="F80" i="12" s="1"/>
  <c r="E55" i="12"/>
  <c r="F55" i="12" s="1"/>
  <c r="I95" i="12"/>
  <c r="F95" i="12"/>
  <c r="I93" i="12"/>
  <c r="J93" i="12" s="1"/>
  <c r="F93" i="12"/>
  <c r="I92" i="12"/>
  <c r="F92" i="12"/>
  <c r="I91" i="12"/>
  <c r="J91" i="12" s="1"/>
  <c r="F91" i="12"/>
  <c r="I90" i="12"/>
  <c r="F90" i="12"/>
  <c r="F82" i="12"/>
  <c r="F81" i="12"/>
  <c r="I81" i="12" s="1"/>
  <c r="F79" i="12"/>
  <c r="I79" i="12" s="1"/>
  <c r="F78" i="12"/>
  <c r="I78" i="12" s="1"/>
  <c r="F77" i="12"/>
  <c r="F75" i="12"/>
  <c r="F74" i="12"/>
  <c r="I74" i="12" s="1"/>
  <c r="F73" i="12"/>
  <c r="F72" i="12"/>
  <c r="F71" i="12"/>
  <c r="F70" i="12"/>
  <c r="I70" i="12" s="1"/>
  <c r="F65" i="12"/>
  <c r="F64" i="12"/>
  <c r="F63" i="12"/>
  <c r="I63" i="12" s="1"/>
  <c r="F62" i="12"/>
  <c r="F61" i="12"/>
  <c r="F60" i="12"/>
  <c r="J100" i="12"/>
  <c r="J105" i="28"/>
  <c r="F76" i="28"/>
  <c r="E85" i="28"/>
  <c r="F85" i="28" s="1"/>
  <c r="E60" i="28"/>
  <c r="F60" i="28" s="1"/>
  <c r="I100" i="28"/>
  <c r="J100" i="28" s="1"/>
  <c r="K100" i="28" s="1"/>
  <c r="F100" i="28"/>
  <c r="I98" i="28"/>
  <c r="J98" i="28" s="1"/>
  <c r="K98" i="28" s="1"/>
  <c r="F98" i="28"/>
  <c r="I97" i="28"/>
  <c r="J97" i="28" s="1"/>
  <c r="K97" i="28" s="1"/>
  <c r="F97" i="28"/>
  <c r="I96" i="28"/>
  <c r="J96" i="28" s="1"/>
  <c r="F96" i="28"/>
  <c r="I95" i="28"/>
  <c r="J95" i="28" s="1"/>
  <c r="K95" i="28" s="1"/>
  <c r="F95" i="28"/>
  <c r="F87" i="28"/>
  <c r="I87" i="28" s="1"/>
  <c r="F86" i="28"/>
  <c r="I86" i="28" s="1"/>
  <c r="F84" i="28"/>
  <c r="I84" i="28" s="1"/>
  <c r="F83" i="28"/>
  <c r="I83" i="28" s="1"/>
  <c r="F82" i="28"/>
  <c r="F80" i="28"/>
  <c r="F79" i="28"/>
  <c r="F78" i="28"/>
  <c r="F77" i="28"/>
  <c r="F75" i="28"/>
  <c r="I75" i="28" s="1"/>
  <c r="K75" i="28" s="1"/>
  <c r="F70" i="28"/>
  <c r="F69" i="28"/>
  <c r="F68" i="28"/>
  <c r="I68" i="28" s="1"/>
  <c r="F67" i="28"/>
  <c r="F66" i="28"/>
  <c r="F65" i="28"/>
  <c r="E55" i="10"/>
  <c r="F55" i="10" s="1"/>
  <c r="E80" i="10"/>
  <c r="F80" i="10" s="1"/>
  <c r="E92" i="27"/>
  <c r="F92" i="27" s="1"/>
  <c r="E67" i="27"/>
  <c r="F67" i="27" s="1"/>
  <c r="I103" i="27"/>
  <c r="J103" i="27" s="1"/>
  <c r="K103" i="27" s="1"/>
  <c r="I104" i="27"/>
  <c r="J104" i="27" s="1"/>
  <c r="K104" i="27" s="1"/>
  <c r="I105" i="27"/>
  <c r="J105" i="27" s="1"/>
  <c r="K105" i="27" s="1"/>
  <c r="I107" i="27"/>
  <c r="J107" i="27" s="1"/>
  <c r="K107" i="27" s="1"/>
  <c r="L107" i="27" s="1"/>
  <c r="I102" i="27"/>
  <c r="J102" i="27" s="1"/>
  <c r="J112" i="27"/>
  <c r="F107" i="27"/>
  <c r="F105" i="27"/>
  <c r="F104" i="27"/>
  <c r="F103" i="27"/>
  <c r="F102" i="27"/>
  <c r="F94" i="27"/>
  <c r="I94" i="27" s="1"/>
  <c r="F93" i="27"/>
  <c r="I93" i="27" s="1"/>
  <c r="F91" i="27"/>
  <c r="I91" i="27" s="1"/>
  <c r="F90" i="27"/>
  <c r="I90" i="27" s="1"/>
  <c r="F89" i="27"/>
  <c r="F87" i="27"/>
  <c r="F86" i="27"/>
  <c r="I86" i="27" s="1"/>
  <c r="F85" i="27"/>
  <c r="I85" i="27" s="1"/>
  <c r="F84" i="27"/>
  <c r="F83" i="27"/>
  <c r="F82" i="27"/>
  <c r="I82" i="27" s="1"/>
  <c r="J82" i="27" s="1"/>
  <c r="F77" i="27"/>
  <c r="F76" i="27"/>
  <c r="F75" i="27"/>
  <c r="I75" i="27" s="1"/>
  <c r="F74" i="27"/>
  <c r="F73" i="27"/>
  <c r="F72" i="27"/>
  <c r="I91" i="10"/>
  <c r="I90" i="10"/>
  <c r="J90" i="10" s="1"/>
  <c r="K90" i="10" s="1"/>
  <c r="F95" i="10"/>
  <c r="F93" i="10"/>
  <c r="F92" i="10"/>
  <c r="F91" i="10"/>
  <c r="F90" i="10"/>
  <c r="F72" i="10"/>
  <c r="F73" i="10"/>
  <c r="I73" i="10" s="1"/>
  <c r="F74" i="10"/>
  <c r="I74" i="10" s="1"/>
  <c r="F75" i="10"/>
  <c r="F77" i="10"/>
  <c r="F78" i="10"/>
  <c r="I78" i="10" s="1"/>
  <c r="F79" i="10"/>
  <c r="I79" i="10" s="1"/>
  <c r="F81" i="10"/>
  <c r="I81" i="10" s="1"/>
  <c r="F82" i="10"/>
  <c r="I82" i="10" s="1"/>
  <c r="F71" i="10"/>
  <c r="F62" i="10"/>
  <c r="F63" i="10"/>
  <c r="I63" i="10" s="1"/>
  <c r="F64" i="10"/>
  <c r="F65" i="10"/>
  <c r="F61" i="10"/>
  <c r="F60" i="10"/>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12" i="22"/>
  <c r="K12" i="27" l="1"/>
  <c r="J79" i="12"/>
  <c r="K79" i="12" s="1"/>
  <c r="J82" i="28"/>
  <c r="K82" i="28" s="1"/>
  <c r="J83" i="27"/>
  <c r="K83" i="27" s="1"/>
  <c r="J75" i="27"/>
  <c r="K75" i="27" s="1"/>
  <c r="J75" i="28"/>
  <c r="L75" i="28" s="1"/>
  <c r="J85" i="27"/>
  <c r="K85" i="27" s="1"/>
  <c r="J95" i="12"/>
  <c r="K95" i="12" s="1"/>
  <c r="J90" i="27"/>
  <c r="K90" i="27" s="1"/>
  <c r="J86" i="27"/>
  <c r="K86" i="27" s="1"/>
  <c r="K82" i="27"/>
  <c r="L82" i="27" s="1"/>
  <c r="J86" i="28"/>
  <c r="K86" i="28" s="1"/>
  <c r="J84" i="28"/>
  <c r="K84" i="28" s="1"/>
  <c r="J84" i="27"/>
  <c r="K84" i="27" s="1"/>
  <c r="J68" i="28"/>
  <c r="K68" i="28" s="1"/>
  <c r="J79" i="28"/>
  <c r="K79" i="28" s="1"/>
  <c r="J93" i="27"/>
  <c r="K93" i="27" s="1"/>
  <c r="J87" i="28"/>
  <c r="K87" i="28" s="1"/>
  <c r="J85" i="28"/>
  <c r="K85" i="28" s="1"/>
  <c r="J89" i="27"/>
  <c r="K89" i="27" s="1"/>
  <c r="J77" i="28"/>
  <c r="K77" i="28" s="1"/>
  <c r="J94" i="27"/>
  <c r="K94" i="27" s="1"/>
  <c r="J77" i="12"/>
  <c r="K77" i="12" s="1"/>
  <c r="J80" i="12"/>
  <c r="K80" i="12" s="1"/>
  <c r="J78" i="12"/>
  <c r="K78" i="12" s="1"/>
  <c r="J87" i="27"/>
  <c r="K87" i="27" s="1"/>
  <c r="J80" i="28"/>
  <c r="K80" i="28" s="1"/>
  <c r="J75" i="12"/>
  <c r="K75" i="12" s="1"/>
  <c r="J63" i="12"/>
  <c r="K63" i="12" s="1"/>
  <c r="J83" i="28"/>
  <c r="K83" i="28" s="1"/>
  <c r="L83" i="28" s="1"/>
  <c r="J71" i="12"/>
  <c r="K71" i="12" s="1"/>
  <c r="J73" i="12"/>
  <c r="K73" i="12" s="1"/>
  <c r="J74" i="12"/>
  <c r="K74" i="12" s="1"/>
  <c r="J91" i="27"/>
  <c r="K91" i="27" s="1"/>
  <c r="J76" i="28"/>
  <c r="K76" i="28" s="1"/>
  <c r="J82" i="12"/>
  <c r="K82" i="12" s="1"/>
  <c r="J72" i="12"/>
  <c r="K72" i="12" s="1"/>
  <c r="J81" i="12"/>
  <c r="K81" i="12" s="1"/>
  <c r="J78" i="28"/>
  <c r="K78" i="28" s="1"/>
  <c r="L79" i="12"/>
  <c r="K70" i="12"/>
  <c r="J70" i="12"/>
  <c r="K93" i="12"/>
  <c r="L93" i="12" s="1"/>
  <c r="I82" i="12"/>
  <c r="K91" i="12"/>
  <c r="L91" i="12" s="1"/>
  <c r="J90" i="12"/>
  <c r="J92" i="12"/>
  <c r="K92" i="12" s="1"/>
  <c r="I73" i="12"/>
  <c r="K96" i="28"/>
  <c r="L96" i="28" s="1"/>
  <c r="L97" i="28"/>
  <c r="L98" i="28"/>
  <c r="I78" i="28"/>
  <c r="I79" i="28"/>
  <c r="J92" i="27"/>
  <c r="K92" i="27" s="1"/>
  <c r="L105" i="27"/>
  <c r="L103" i="27"/>
  <c r="K102" i="27"/>
  <c r="L102" i="27" s="1"/>
  <c r="L104" i="27"/>
  <c r="H50" i="25"/>
  <c r="H51" i="25"/>
  <c r="H52" i="25"/>
  <c r="H54" i="25"/>
  <c r="H49" i="25"/>
  <c r="H38" i="25"/>
  <c r="H39" i="25"/>
  <c r="H40" i="25"/>
  <c r="H41" i="25"/>
  <c r="H37" i="25"/>
  <c r="H29" i="25"/>
  <c r="H30" i="25"/>
  <c r="H31" i="25"/>
  <c r="H32" i="25"/>
  <c r="H33" i="25"/>
  <c r="H34" i="25"/>
  <c r="H35" i="25"/>
  <c r="H20" i="25"/>
  <c r="H21" i="25"/>
  <c r="H22" i="25"/>
  <c r="H23" i="25"/>
  <c r="H24" i="25"/>
  <c r="H25" i="25"/>
  <c r="H19" i="25"/>
  <c r="H13" i="25"/>
  <c r="H14" i="25"/>
  <c r="G50" i="25"/>
  <c r="G51" i="25"/>
  <c r="G52" i="25"/>
  <c r="G54" i="25"/>
  <c r="G49" i="25"/>
  <c r="F50" i="25"/>
  <c r="F51" i="25"/>
  <c r="F52" i="25"/>
  <c r="F54" i="25"/>
  <c r="F49" i="25"/>
  <c r="G38" i="25"/>
  <c r="G39" i="25"/>
  <c r="G40" i="25"/>
  <c r="G41" i="25"/>
  <c r="G37" i="25"/>
  <c r="G20" i="25"/>
  <c r="G21" i="25"/>
  <c r="G22" i="25"/>
  <c r="G23" i="25"/>
  <c r="G24" i="25"/>
  <c r="G25" i="25"/>
  <c r="G29" i="25"/>
  <c r="G30" i="25"/>
  <c r="G31" i="25"/>
  <c r="G32" i="25"/>
  <c r="G33" i="25"/>
  <c r="G34" i="25"/>
  <c r="G35" i="25"/>
  <c r="G19" i="25"/>
  <c r="G13" i="25"/>
  <c r="G14" i="25"/>
  <c r="F38" i="25"/>
  <c r="F39" i="25"/>
  <c r="F40" i="25"/>
  <c r="F41" i="25"/>
  <c r="F37" i="25"/>
  <c r="F19" i="25"/>
  <c r="F20" i="25"/>
  <c r="F21" i="25"/>
  <c r="F22" i="25"/>
  <c r="F23" i="25"/>
  <c r="F24" i="25"/>
  <c r="F25" i="25"/>
  <c r="F29" i="25"/>
  <c r="F30" i="25"/>
  <c r="F31" i="25"/>
  <c r="F32" i="25"/>
  <c r="F33" i="25"/>
  <c r="F34" i="25"/>
  <c r="F35" i="25"/>
  <c r="F14" i="25"/>
  <c r="F13" i="25"/>
  <c r="G20" i="2"/>
  <c r="G18" i="2"/>
  <c r="G17" i="2"/>
  <c r="G16" i="2"/>
  <c r="G15" i="2"/>
  <c r="D69" i="12"/>
  <c r="D68" i="12"/>
  <c r="D39" i="12"/>
  <c r="C39" i="12"/>
  <c r="F20" i="2"/>
  <c r="F18" i="2"/>
  <c r="F17" i="2"/>
  <c r="F16" i="2"/>
  <c r="F15" i="2"/>
  <c r="D74" i="28"/>
  <c r="D81" i="27"/>
  <c r="D69" i="10"/>
  <c r="D73" i="28"/>
  <c r="K12" i="28"/>
  <c r="K13" i="28"/>
  <c r="K15" i="28"/>
  <c r="K16" i="28"/>
  <c r="C44" i="28"/>
  <c r="D44" i="28"/>
  <c r="E20" i="2"/>
  <c r="E18" i="2"/>
  <c r="E17" i="2"/>
  <c r="E16" i="2"/>
  <c r="E15" i="2"/>
  <c r="L86" i="27" l="1"/>
  <c r="L75" i="27"/>
  <c r="L85" i="27"/>
  <c r="L63" i="12"/>
  <c r="L79" i="28"/>
  <c r="L84" i="28"/>
  <c r="L90" i="27"/>
  <c r="G9" i="2"/>
  <c r="F24" i="28"/>
  <c r="H27" i="25"/>
  <c r="F68" i="12"/>
  <c r="I68" i="12" s="1"/>
  <c r="J68" i="12" s="1"/>
  <c r="K68" i="12" s="1"/>
  <c r="K69" i="12"/>
  <c r="J69" i="12"/>
  <c r="F69" i="12"/>
  <c r="I69" i="12" s="1"/>
  <c r="L74" i="12"/>
  <c r="L70" i="12"/>
  <c r="L95" i="12"/>
  <c r="J81" i="27"/>
  <c r="F81" i="27"/>
  <c r="I81" i="27" s="1"/>
  <c r="K81" i="27"/>
  <c r="D72" i="28"/>
  <c r="F72" i="28" s="1"/>
  <c r="I72" i="28" s="1"/>
  <c r="J72" i="28" s="1"/>
  <c r="K72" i="28" s="1"/>
  <c r="F73" i="28"/>
  <c r="I73" i="28" s="1"/>
  <c r="K14" i="28"/>
  <c r="F23" i="28" s="1"/>
  <c r="K74" i="28"/>
  <c r="F74" i="28"/>
  <c r="I74" i="28" s="1"/>
  <c r="J74" i="28"/>
  <c r="L94" i="27"/>
  <c r="L81" i="12"/>
  <c r="L93" i="27"/>
  <c r="L91" i="27"/>
  <c r="L87" i="28"/>
  <c r="L78" i="28"/>
  <c r="L73" i="12"/>
  <c r="L82" i="12"/>
  <c r="L78" i="12"/>
  <c r="F9" i="2"/>
  <c r="K69" i="10"/>
  <c r="F69" i="10"/>
  <c r="I69" i="10" s="1"/>
  <c r="L92" i="12"/>
  <c r="K90" i="12"/>
  <c r="L68" i="28"/>
  <c r="L86" i="28"/>
  <c r="L100" i="28"/>
  <c r="F8" i="2"/>
  <c r="G28" i="25"/>
  <c r="F28" i="25"/>
  <c r="G27" i="25"/>
  <c r="J69" i="10"/>
  <c r="H28" i="25"/>
  <c r="D67" i="12"/>
  <c r="F67" i="12" s="1"/>
  <c r="I67" i="12" s="1"/>
  <c r="J67" i="12" s="1"/>
  <c r="K67" i="12" s="1"/>
  <c r="G26" i="25" l="1"/>
  <c r="L69" i="12"/>
  <c r="L68" i="12"/>
  <c r="L72" i="28"/>
  <c r="D88" i="28"/>
  <c r="G42" i="25" s="1"/>
  <c r="L67" i="12"/>
  <c r="L81" i="27"/>
  <c r="L74" i="28"/>
  <c r="J73" i="28"/>
  <c r="K73" i="28" s="1"/>
  <c r="F31" i="28"/>
  <c r="L90" i="12"/>
  <c r="L95" i="28"/>
  <c r="D83" i="12"/>
  <c r="H42" i="25" s="1"/>
  <c r="H26" i="25"/>
  <c r="F29" i="28"/>
  <c r="D25" i="28"/>
  <c r="F28" i="28"/>
  <c r="L73" i="28" l="1"/>
  <c r="D99" i="28"/>
  <c r="F99" i="28" s="1"/>
  <c r="D32" i="28"/>
  <c r="F5" i="2" s="1"/>
  <c r="D57" i="28"/>
  <c r="F19" i="2" l="1"/>
  <c r="D101" i="28"/>
  <c r="F101" i="28" s="1"/>
  <c r="G53" i="25"/>
  <c r="I99" i="28"/>
  <c r="J99" i="28" s="1"/>
  <c r="G11" i="25"/>
  <c r="D58" i="28"/>
  <c r="I101" i="28" l="1"/>
  <c r="G55" i="25"/>
  <c r="G15" i="25"/>
  <c r="G12" i="25"/>
  <c r="K99" i="28"/>
  <c r="J101" i="28"/>
  <c r="D62" i="28"/>
  <c r="D90" i="28" l="1"/>
  <c r="G44" i="25" s="1"/>
  <c r="K101" i="28"/>
  <c r="L99" i="28"/>
  <c r="G16" i="25"/>
  <c r="D91" i="28" l="1"/>
  <c r="G45" i="25" s="1"/>
  <c r="L101" i="28"/>
  <c r="D92" i="28" l="1"/>
  <c r="D51" i="27"/>
  <c r="D80" i="27"/>
  <c r="F27" i="25" l="1"/>
  <c r="F80" i="27"/>
  <c r="I80" i="27" s="1"/>
  <c r="E9" i="2"/>
  <c r="G46" i="25"/>
  <c r="D103" i="28"/>
  <c r="G57" i="25" s="1"/>
  <c r="K13" i="27"/>
  <c r="K14" i="27"/>
  <c r="K15" i="27"/>
  <c r="K16" i="27"/>
  <c r="D32" i="27"/>
  <c r="C51" i="27"/>
  <c r="I92" i="10"/>
  <c r="J92" i="10" s="1"/>
  <c r="K92" i="10" s="1"/>
  <c r="J91" i="10"/>
  <c r="I93" i="10"/>
  <c r="I95" i="10"/>
  <c r="J95" i="10" s="1"/>
  <c r="K95" i="10" s="1"/>
  <c r="J100" i="10"/>
  <c r="D39" i="10"/>
  <c r="D9" i="2" s="1"/>
  <c r="C39" i="10"/>
  <c r="E41" i="25"/>
  <c r="E40" i="25"/>
  <c r="F44" i="23"/>
  <c r="F45" i="23"/>
  <c r="C5" i="25"/>
  <c r="C7" i="25"/>
  <c r="I12" i="22"/>
  <c r="E13" i="25"/>
  <c r="E14" i="25"/>
  <c r="E19" i="25"/>
  <c r="E20" i="25"/>
  <c r="E21" i="25"/>
  <c r="E22" i="25"/>
  <c r="E23" i="25"/>
  <c r="E24" i="25"/>
  <c r="E25" i="25"/>
  <c r="E30" i="25"/>
  <c r="E31" i="25"/>
  <c r="E32" i="25"/>
  <c r="E33" i="25"/>
  <c r="E34" i="25"/>
  <c r="E35" i="25"/>
  <c r="E36" i="25"/>
  <c r="E37" i="25"/>
  <c r="E38" i="25"/>
  <c r="E39" i="25"/>
  <c r="E49" i="25"/>
  <c r="E50" i="25"/>
  <c r="E51" i="25"/>
  <c r="E52" i="25"/>
  <c r="E54" i="25"/>
  <c r="I45" i="22"/>
  <c r="I46" i="22"/>
  <c r="I47" i="22"/>
  <c r="I48" i="22"/>
  <c r="I44" i="22"/>
  <c r="I42" i="22"/>
  <c r="I39" i="22"/>
  <c r="I41" i="22"/>
  <c r="I36" i="22"/>
  <c r="I37" i="22"/>
  <c r="I28" i="22"/>
  <c r="I16" i="22"/>
  <c r="I13" i="22"/>
  <c r="I14" i="22"/>
  <c r="D20" i="2"/>
  <c r="D18" i="2"/>
  <c r="D17" i="2"/>
  <c r="D16" i="2"/>
  <c r="D15" i="2"/>
  <c r="F17" i="23"/>
  <c r="E23" i="27" l="1"/>
  <c r="D106" i="27"/>
  <c r="F106" i="27" s="1"/>
  <c r="J80" i="27"/>
  <c r="K80" i="27" s="1"/>
  <c r="J72" i="10"/>
  <c r="J82" i="10"/>
  <c r="K82" i="10" s="1"/>
  <c r="L82" i="10" s="1"/>
  <c r="J78" i="10"/>
  <c r="K78" i="10" s="1"/>
  <c r="J79" i="10"/>
  <c r="J81" i="10"/>
  <c r="K81" i="10" s="1"/>
  <c r="J63" i="10"/>
  <c r="J71" i="10"/>
  <c r="J74" i="10"/>
  <c r="K74" i="10" s="1"/>
  <c r="J73" i="10"/>
  <c r="K73" i="10" s="1"/>
  <c r="J77" i="10"/>
  <c r="J75" i="10"/>
  <c r="J80" i="10"/>
  <c r="E78" i="27"/>
  <c r="F78" i="27" s="1"/>
  <c r="I78" i="27" s="1"/>
  <c r="E66" i="12"/>
  <c r="F66" i="12" s="1"/>
  <c r="I66" i="12" s="1"/>
  <c r="E71" i="28"/>
  <c r="F71" i="28" s="1"/>
  <c r="I71" i="28" s="1"/>
  <c r="E66" i="10"/>
  <c r="F66" i="10" s="1"/>
  <c r="I66" i="10" s="1"/>
  <c r="J66" i="10" s="1"/>
  <c r="K66" i="10" s="1"/>
  <c r="E52" i="10"/>
  <c r="E53" i="10" s="1"/>
  <c r="E64" i="27"/>
  <c r="E65" i="27" s="1"/>
  <c r="E57" i="28"/>
  <c r="E52" i="12"/>
  <c r="E53" i="12" s="1"/>
  <c r="G82" i="28"/>
  <c r="I82" i="28" s="1"/>
  <c r="L82" i="28" s="1"/>
  <c r="G77" i="12"/>
  <c r="I77" i="12" s="1"/>
  <c r="L77" i="12" s="1"/>
  <c r="G89" i="27"/>
  <c r="I89" i="27" s="1"/>
  <c r="L89" i="27" s="1"/>
  <c r="J93" i="10"/>
  <c r="K93" i="10" s="1"/>
  <c r="L93" i="10" s="1"/>
  <c r="J36" i="25"/>
  <c r="C36" i="25" s="1"/>
  <c r="G77" i="10"/>
  <c r="E8" i="2"/>
  <c r="D23" i="27"/>
  <c r="F36" i="27" s="1"/>
  <c r="L92" i="10"/>
  <c r="L95" i="10"/>
  <c r="K91" i="10"/>
  <c r="C37" i="25"/>
  <c r="C38" i="25"/>
  <c r="C51" i="25"/>
  <c r="C32" i="25"/>
  <c r="C22" i="25"/>
  <c r="C54" i="25"/>
  <c r="C33" i="25"/>
  <c r="C40" i="25"/>
  <c r="C50" i="25"/>
  <c r="K39" i="25"/>
  <c r="K11" i="25"/>
  <c r="K12" i="25" s="1"/>
  <c r="K25" i="25"/>
  <c r="C25" i="25" s="1"/>
  <c r="C52" i="25"/>
  <c r="F53" i="25" l="1"/>
  <c r="I106" i="27"/>
  <c r="I108" i="27" s="1"/>
  <c r="E19" i="2"/>
  <c r="L80" i="27"/>
  <c r="L78" i="10"/>
  <c r="J66" i="12"/>
  <c r="K66" i="12" s="1"/>
  <c r="E58" i="28"/>
  <c r="F58" i="28" s="1"/>
  <c r="F57" i="28"/>
  <c r="L66" i="10"/>
  <c r="J78" i="27"/>
  <c r="K78" i="27" s="1"/>
  <c r="L78" i="27" s="1"/>
  <c r="J71" i="28"/>
  <c r="K71" i="28" s="1"/>
  <c r="K77" i="10"/>
  <c r="I77" i="10"/>
  <c r="L73" i="10"/>
  <c r="D108" i="27"/>
  <c r="F108" i="27" s="1"/>
  <c r="F39" i="27"/>
  <c r="F35" i="27"/>
  <c r="L90" i="10"/>
  <c r="K63" i="10"/>
  <c r="L63" i="10" s="1"/>
  <c r="K79" i="10"/>
  <c r="L79" i="10" s="1"/>
  <c r="L74" i="10"/>
  <c r="L91" i="10"/>
  <c r="L81" i="10"/>
  <c r="F15" i="12"/>
  <c r="D15" i="12"/>
  <c r="J106" i="27" l="1"/>
  <c r="K106" i="27" s="1"/>
  <c r="K108" i="27" s="1"/>
  <c r="D40" i="27"/>
  <c r="E5" i="2" s="1"/>
  <c r="L77" i="10"/>
  <c r="L66" i="12"/>
  <c r="I57" i="28"/>
  <c r="J57" i="28"/>
  <c r="L71" i="28"/>
  <c r="G8" i="2"/>
  <c r="F55" i="25"/>
  <c r="D64" i="27"/>
  <c r="D79" i="27"/>
  <c r="F79" i="27" s="1"/>
  <c r="I79" i="27" s="1"/>
  <c r="K13" i="12"/>
  <c r="K12" i="12"/>
  <c r="K14" i="12"/>
  <c r="F12" i="23"/>
  <c r="D10" i="10"/>
  <c r="F15" i="10" s="1"/>
  <c r="F22" i="10" l="1"/>
  <c r="F21" i="10"/>
  <c r="F20" i="10"/>
  <c r="F19" i="10"/>
  <c r="F18" i="10"/>
  <c r="F17" i="10"/>
  <c r="J108" i="27"/>
  <c r="L108" i="27" s="1"/>
  <c r="J79" i="27"/>
  <c r="K79" i="27" s="1"/>
  <c r="F16" i="10"/>
  <c r="J58" i="28"/>
  <c r="K57" i="28"/>
  <c r="K58" i="28" s="1"/>
  <c r="I58" i="28"/>
  <c r="F11" i="25"/>
  <c r="F64" i="27"/>
  <c r="L106" i="27"/>
  <c r="D95" i="27"/>
  <c r="F42" i="25" s="1"/>
  <c r="F26" i="25"/>
  <c r="F15" i="25"/>
  <c r="D65" i="27"/>
  <c r="E21" i="2"/>
  <c r="F19" i="12"/>
  <c r="L79" i="27" l="1"/>
  <c r="L57" i="28"/>
  <c r="L58" i="28"/>
  <c r="J64" i="27"/>
  <c r="I64" i="27"/>
  <c r="F12" i="25"/>
  <c r="F65" i="27"/>
  <c r="D69" i="27"/>
  <c r="F52" i="10"/>
  <c r="F26" i="12"/>
  <c r="D94" i="12" l="1"/>
  <c r="G19" i="2" s="1"/>
  <c r="G21" i="2" s="1"/>
  <c r="I65" i="27"/>
  <c r="K64" i="27"/>
  <c r="K65" i="27" s="1"/>
  <c r="J65" i="27"/>
  <c r="J52" i="10"/>
  <c r="J53" i="10" s="1"/>
  <c r="I52" i="10"/>
  <c r="E11" i="25"/>
  <c r="D97" i="27"/>
  <c r="F44" i="25" s="1"/>
  <c r="F16" i="25"/>
  <c r="D94" i="10"/>
  <c r="D70" i="10"/>
  <c r="F70" i="10" s="1"/>
  <c r="I70" i="10" s="1"/>
  <c r="D5" i="2"/>
  <c r="H53" i="25" l="1"/>
  <c r="D96" i="12"/>
  <c r="F96" i="12" s="1"/>
  <c r="I94" i="12"/>
  <c r="I96" i="12" s="1"/>
  <c r="F94" i="12"/>
  <c r="H11" i="25"/>
  <c r="F52" i="12"/>
  <c r="L64" i="27"/>
  <c r="L65" i="27"/>
  <c r="F17" i="22"/>
  <c r="F94" i="10"/>
  <c r="K70" i="10"/>
  <c r="J70" i="10"/>
  <c r="D98" i="27"/>
  <c r="F45" i="25" s="1"/>
  <c r="H55" i="25"/>
  <c r="D53" i="12"/>
  <c r="I94" i="10"/>
  <c r="J94" i="10" s="1"/>
  <c r="K52" i="10"/>
  <c r="K53" i="10" s="1"/>
  <c r="E29" i="25"/>
  <c r="C29" i="25" s="1"/>
  <c r="G5" i="2"/>
  <c r="G19" i="22" s="1"/>
  <c r="J94" i="12" l="1"/>
  <c r="K94" i="12" s="1"/>
  <c r="H15" i="25"/>
  <c r="H12" i="25"/>
  <c r="F53" i="12"/>
  <c r="J52" i="12"/>
  <c r="I52" i="12"/>
  <c r="D57" i="12"/>
  <c r="D99" i="27"/>
  <c r="D110" i="27" s="1"/>
  <c r="F57" i="25" s="1"/>
  <c r="L70" i="10"/>
  <c r="L52" i="10"/>
  <c r="J96" i="12" l="1"/>
  <c r="I53" i="12"/>
  <c r="K52" i="12"/>
  <c r="J53" i="12"/>
  <c r="L94" i="12"/>
  <c r="K96" i="12"/>
  <c r="F46" i="25"/>
  <c r="D85" i="12"/>
  <c r="H44" i="25" s="1"/>
  <c r="H16" i="25"/>
  <c r="C49" i="25"/>
  <c r="F48" i="23"/>
  <c r="F49" i="23"/>
  <c r="F50" i="23"/>
  <c r="F47" i="23"/>
  <c r="F34" i="23"/>
  <c r="I30" i="22" s="1"/>
  <c r="F35" i="23"/>
  <c r="I31" i="22" s="1"/>
  <c r="F36" i="23"/>
  <c r="I32" i="22" s="1"/>
  <c r="F37" i="23"/>
  <c r="I33" i="22" s="1"/>
  <c r="F38" i="23"/>
  <c r="I34" i="22" s="1"/>
  <c r="F39" i="23"/>
  <c r="I35" i="22" s="1"/>
  <c r="F40" i="23"/>
  <c r="F41" i="23"/>
  <c r="I38" i="22" s="1"/>
  <c r="F42" i="23"/>
  <c r="F43" i="23"/>
  <c r="F33" i="23"/>
  <c r="F25" i="23"/>
  <c r="F26" i="23"/>
  <c r="F27" i="23"/>
  <c r="F28" i="23"/>
  <c r="F29" i="23"/>
  <c r="F30" i="23"/>
  <c r="F31" i="23"/>
  <c r="F24" i="23"/>
  <c r="F19" i="23"/>
  <c r="F20" i="23"/>
  <c r="F18" i="23"/>
  <c r="F11" i="23"/>
  <c r="F13" i="23"/>
  <c r="F14" i="23"/>
  <c r="F15" i="23"/>
  <c r="F10" i="23"/>
  <c r="G87" i="27" l="1"/>
  <c r="I87" i="27" s="1"/>
  <c r="L87" i="27" s="1"/>
  <c r="G80" i="28"/>
  <c r="I80" i="28" s="1"/>
  <c r="L80" i="28" s="1"/>
  <c r="G75" i="12"/>
  <c r="I75" i="12" s="1"/>
  <c r="L75" i="12" s="1"/>
  <c r="G72" i="12"/>
  <c r="I72" i="12" s="1"/>
  <c r="L72" i="12" s="1"/>
  <c r="G77" i="28"/>
  <c r="I77" i="28" s="1"/>
  <c r="L77" i="28" s="1"/>
  <c r="G84" i="27"/>
  <c r="I84" i="27" s="1"/>
  <c r="L84" i="27" s="1"/>
  <c r="G80" i="10"/>
  <c r="I80" i="10" s="1"/>
  <c r="G92" i="27"/>
  <c r="I92" i="27" s="1"/>
  <c r="L92" i="27" s="1"/>
  <c r="G80" i="12"/>
  <c r="I80" i="12" s="1"/>
  <c r="L80" i="12" s="1"/>
  <c r="G85" i="28"/>
  <c r="I85" i="28" s="1"/>
  <c r="L85" i="28" s="1"/>
  <c r="G71" i="12"/>
  <c r="I71" i="12" s="1"/>
  <c r="L71" i="12" s="1"/>
  <c r="G76" i="28"/>
  <c r="I76" i="28" s="1"/>
  <c r="L76" i="28" s="1"/>
  <c r="G83" i="27"/>
  <c r="I83" i="27" s="1"/>
  <c r="L83" i="27" s="1"/>
  <c r="G77" i="27"/>
  <c r="I77" i="27" s="1"/>
  <c r="G70" i="28"/>
  <c r="I70" i="28" s="1"/>
  <c r="G65" i="12"/>
  <c r="I65" i="12" s="1"/>
  <c r="G61" i="28"/>
  <c r="G56" i="12"/>
  <c r="G68" i="27"/>
  <c r="G56" i="10"/>
  <c r="G64" i="12"/>
  <c r="I64" i="12" s="1"/>
  <c r="G69" i="28"/>
  <c r="I69" i="28" s="1"/>
  <c r="G76" i="27"/>
  <c r="I76" i="27" s="1"/>
  <c r="G74" i="27"/>
  <c r="I74" i="27" s="1"/>
  <c r="G67" i="28"/>
  <c r="I67" i="28" s="1"/>
  <c r="G62" i="12"/>
  <c r="I62" i="12" s="1"/>
  <c r="G60" i="12"/>
  <c r="G72" i="27"/>
  <c r="G65" i="28"/>
  <c r="G73" i="27"/>
  <c r="I73" i="27" s="1"/>
  <c r="G66" i="28"/>
  <c r="I66" i="28" s="1"/>
  <c r="G61" i="12"/>
  <c r="I61" i="12" s="1"/>
  <c r="K53" i="12"/>
  <c r="L53" i="12" s="1"/>
  <c r="L52" i="12"/>
  <c r="L96" i="12"/>
  <c r="D86" i="12"/>
  <c r="H45" i="25" s="1"/>
  <c r="G75" i="10"/>
  <c r="I75" i="10" s="1"/>
  <c r="G62" i="10"/>
  <c r="G71" i="10"/>
  <c r="I71" i="10" s="1"/>
  <c r="G65" i="10"/>
  <c r="I65" i="10" s="1"/>
  <c r="J65" i="10" s="1"/>
  <c r="G61" i="10"/>
  <c r="I61" i="10" s="1"/>
  <c r="J61" i="10" s="1"/>
  <c r="G60" i="10"/>
  <c r="I60" i="10" s="1"/>
  <c r="J60" i="10" s="1"/>
  <c r="G72" i="10"/>
  <c r="I72" i="10" s="1"/>
  <c r="G64" i="10"/>
  <c r="I64" i="10" s="1"/>
  <c r="J64" i="10" s="1"/>
  <c r="J39" i="25"/>
  <c r="C39" i="25" s="1"/>
  <c r="J15" i="25"/>
  <c r="J23" i="25"/>
  <c r="C23" i="25" s="1"/>
  <c r="J31" i="25"/>
  <c r="C31" i="25" s="1"/>
  <c r="J21" i="25"/>
  <c r="C21" i="25" s="1"/>
  <c r="J20" i="25"/>
  <c r="C20" i="25" s="1"/>
  <c r="J30" i="25"/>
  <c r="C30" i="25" s="1"/>
  <c r="J24" i="25"/>
  <c r="C24" i="25" s="1"/>
  <c r="J14" i="25"/>
  <c r="J19" i="25"/>
  <c r="J35" i="25"/>
  <c r="J34" i="25"/>
  <c r="C34" i="25" s="1"/>
  <c r="I29" i="22"/>
  <c r="G81" i="28" s="1"/>
  <c r="F51" i="23"/>
  <c r="D68" i="10"/>
  <c r="F68" i="10" s="1"/>
  <c r="I68" i="10" s="1"/>
  <c r="J68" i="10" s="1"/>
  <c r="F21" i="23"/>
  <c r="D8" i="2"/>
  <c r="I60" i="12" l="1"/>
  <c r="J70" i="28"/>
  <c r="K70" i="28" s="1"/>
  <c r="J67" i="28"/>
  <c r="K67" i="28" s="1"/>
  <c r="J61" i="12"/>
  <c r="K61" i="12" s="1"/>
  <c r="J74" i="27"/>
  <c r="K74" i="27" s="1"/>
  <c r="G76" i="12"/>
  <c r="G83" i="12" s="1"/>
  <c r="I72" i="27"/>
  <c r="J65" i="12"/>
  <c r="K65" i="12" s="1"/>
  <c r="J62" i="12"/>
  <c r="K62" i="12" s="1"/>
  <c r="J77" i="27"/>
  <c r="K77" i="27" s="1"/>
  <c r="J66" i="28"/>
  <c r="K66" i="28" s="1"/>
  <c r="J76" i="27"/>
  <c r="K76" i="27" s="1"/>
  <c r="G88" i="27"/>
  <c r="G95" i="27" s="1"/>
  <c r="I62" i="10"/>
  <c r="J62" i="10" s="1"/>
  <c r="K62" i="10" s="1"/>
  <c r="L62" i="10" s="1"/>
  <c r="J73" i="27"/>
  <c r="K73" i="27" s="1"/>
  <c r="J69" i="28"/>
  <c r="K69" i="28" s="1"/>
  <c r="G76" i="10"/>
  <c r="G83" i="10" s="1"/>
  <c r="G88" i="28"/>
  <c r="I65" i="28"/>
  <c r="J64" i="12"/>
  <c r="K64" i="12" s="1"/>
  <c r="D87" i="12"/>
  <c r="D98" i="12" s="1"/>
  <c r="H57" i="25" s="1"/>
  <c r="H46" i="25"/>
  <c r="K80" i="10"/>
  <c r="K71" i="10"/>
  <c r="K64" i="10"/>
  <c r="K61" i="10"/>
  <c r="L61" i="10" s="1"/>
  <c r="K75" i="10"/>
  <c r="K65" i="10"/>
  <c r="K72" i="10"/>
  <c r="K68" i="10"/>
  <c r="D67" i="10"/>
  <c r="E28" i="25"/>
  <c r="E27" i="25"/>
  <c r="J16" i="25"/>
  <c r="J42" i="25"/>
  <c r="C19" i="25"/>
  <c r="I49" i="22"/>
  <c r="F52" i="23"/>
  <c r="L69" i="28" l="1"/>
  <c r="L77" i="27"/>
  <c r="L61" i="12"/>
  <c r="L65" i="12"/>
  <c r="L70" i="28"/>
  <c r="L64" i="12"/>
  <c r="L67" i="28"/>
  <c r="L76" i="27"/>
  <c r="L66" i="28"/>
  <c r="L73" i="27"/>
  <c r="J72" i="27"/>
  <c r="K72" i="27" s="1"/>
  <c r="L72" i="27" s="1"/>
  <c r="L74" i="27"/>
  <c r="J60" i="12"/>
  <c r="K60" i="12" s="1"/>
  <c r="L60" i="12" s="1"/>
  <c r="J65" i="28"/>
  <c r="K65" i="28" s="1"/>
  <c r="L62" i="12"/>
  <c r="D83" i="10"/>
  <c r="F67" i="10"/>
  <c r="L68" i="10"/>
  <c r="L71" i="10"/>
  <c r="L64" i="10"/>
  <c r="L72" i="10"/>
  <c r="L80" i="10"/>
  <c r="L65" i="10"/>
  <c r="L75" i="10"/>
  <c r="L69" i="10"/>
  <c r="C28" i="25"/>
  <c r="D96" i="10"/>
  <c r="E26" i="25"/>
  <c r="C27" i="25"/>
  <c r="J44" i="25"/>
  <c r="L65" i="28" l="1"/>
  <c r="I67" i="10"/>
  <c r="J67" i="10" s="1"/>
  <c r="K67" i="10" s="1"/>
  <c r="I96" i="10"/>
  <c r="F96" i="10"/>
  <c r="K60" i="10"/>
  <c r="C26" i="25"/>
  <c r="C11" i="25"/>
  <c r="J45" i="25"/>
  <c r="J46" i="25" s="1"/>
  <c r="E42" i="25"/>
  <c r="D53" i="10"/>
  <c r="F53" i="10" s="1"/>
  <c r="I53" i="10" s="1"/>
  <c r="L53" i="10" s="1"/>
  <c r="L60" i="10" l="1"/>
  <c r="L67" i="10"/>
  <c r="E12" i="25"/>
  <c r="C12" i="25" s="1"/>
  <c r="F21" i="2"/>
  <c r="E15" i="25"/>
  <c r="D57" i="10"/>
  <c r="K94" i="10" l="1"/>
  <c r="L94" i="10" s="1"/>
  <c r="J96" i="10"/>
  <c r="D85" i="10"/>
  <c r="E16" i="25"/>
  <c r="E44" i="25" l="1"/>
  <c r="D86" i="10"/>
  <c r="D87" i="10" s="1"/>
  <c r="E45" i="25" l="1"/>
  <c r="D98" i="10"/>
  <c r="E46" i="25"/>
  <c r="G22" i="22"/>
  <c r="I22" i="22" s="1"/>
  <c r="G21" i="22"/>
  <c r="I21" i="22" s="1"/>
  <c r="G40" i="22"/>
  <c r="I40" i="22" s="1"/>
  <c r="E76" i="12" s="1"/>
  <c r="E56" i="12" l="1"/>
  <c r="F56" i="12" s="1"/>
  <c r="I56" i="12" s="1"/>
  <c r="F76" i="12"/>
  <c r="E83" i="12"/>
  <c r="E76" i="10"/>
  <c r="F76" i="10" s="1"/>
  <c r="F83" i="10" s="1"/>
  <c r="E81" i="28"/>
  <c r="E56" i="10"/>
  <c r="F56" i="10" s="1"/>
  <c r="I56" i="10" s="1"/>
  <c r="J56" i="10" s="1"/>
  <c r="E61" i="28"/>
  <c r="F61" i="28" s="1"/>
  <c r="I61" i="28" s="1"/>
  <c r="E88" i="27"/>
  <c r="E68" i="27"/>
  <c r="F68" i="27" s="1"/>
  <c r="I68" i="27" s="1"/>
  <c r="J68" i="27" s="1"/>
  <c r="K68" i="27" s="1"/>
  <c r="K35" i="25"/>
  <c r="K42" i="25" s="1"/>
  <c r="C42" i="25" s="1"/>
  <c r="K15" i="25"/>
  <c r="C15" i="25" s="1"/>
  <c r="I19" i="22"/>
  <c r="I50" i="22"/>
  <c r="G55" i="12" l="1"/>
  <c r="I55" i="12" s="1"/>
  <c r="G60" i="28"/>
  <c r="J56" i="12"/>
  <c r="K56" i="12" s="1"/>
  <c r="J76" i="12"/>
  <c r="F83" i="12"/>
  <c r="I76" i="12"/>
  <c r="G55" i="10"/>
  <c r="J61" i="28"/>
  <c r="K61" i="28" s="1"/>
  <c r="F81" i="28"/>
  <c r="E88" i="28"/>
  <c r="G67" i="27"/>
  <c r="F88" i="27"/>
  <c r="E95" i="27"/>
  <c r="E83" i="10"/>
  <c r="J76" i="10"/>
  <c r="J83" i="10" s="1"/>
  <c r="I76" i="10"/>
  <c r="I83" i="10" s="1"/>
  <c r="C35" i="25"/>
  <c r="I23" i="22"/>
  <c r="K14" i="25"/>
  <c r="C14" i="25" s="1"/>
  <c r="L61" i="28" l="1"/>
  <c r="K76" i="12"/>
  <c r="K83" i="12" s="1"/>
  <c r="J83" i="12"/>
  <c r="L56" i="12"/>
  <c r="J55" i="12"/>
  <c r="I83" i="12"/>
  <c r="J81" i="28"/>
  <c r="I81" i="28"/>
  <c r="F88" i="28"/>
  <c r="I60" i="28"/>
  <c r="I88" i="27"/>
  <c r="I95" i="27" s="1"/>
  <c r="J88" i="27"/>
  <c r="F95" i="27"/>
  <c r="I67" i="27"/>
  <c r="J67" i="27" s="1"/>
  <c r="K67" i="27" s="1"/>
  <c r="L68" i="27"/>
  <c r="I52" i="22"/>
  <c r="K56" i="10"/>
  <c r="I55" i="10"/>
  <c r="J55" i="10" s="1"/>
  <c r="K96" i="10"/>
  <c r="L96" i="10" s="1"/>
  <c r="L76" i="12" l="1"/>
  <c r="L83" i="12" s="1"/>
  <c r="K55" i="12"/>
  <c r="J60" i="28"/>
  <c r="K60" i="28" s="1"/>
  <c r="I88" i="28"/>
  <c r="K81" i="28"/>
  <c r="K88" i="28" s="1"/>
  <c r="J88" i="28"/>
  <c r="K88" i="27"/>
  <c r="K95" i="27" s="1"/>
  <c r="J95" i="27"/>
  <c r="L67" i="27"/>
  <c r="L56" i="10"/>
  <c r="K55" i="10"/>
  <c r="K76" i="10"/>
  <c r="K83" i="10" s="1"/>
  <c r="L55" i="12" l="1"/>
  <c r="L60" i="28"/>
  <c r="L81" i="28"/>
  <c r="L88" i="28" s="1"/>
  <c r="L88" i="27"/>
  <c r="L95" i="27" s="1"/>
  <c r="L55" i="10"/>
  <c r="L76" i="10"/>
  <c r="L83" i="10" s="1"/>
  <c r="I17" i="22" l="1"/>
  <c r="E53" i="25"/>
  <c r="C53" i="25" s="1"/>
  <c r="D19" i="2"/>
  <c r="D21" i="2" s="1"/>
  <c r="E54" i="12" l="1"/>
  <c r="F54" i="12" s="1"/>
  <c r="G54" i="10"/>
  <c r="G57" i="10" s="1"/>
  <c r="G85" i="10" s="1"/>
  <c r="G86" i="10" s="1"/>
  <c r="G87" i="10" s="1"/>
  <c r="D7" i="2" s="1"/>
  <c r="G66" i="27"/>
  <c r="G69" i="27" s="1"/>
  <c r="G97" i="27" s="1"/>
  <c r="G98" i="27" s="1"/>
  <c r="G99" i="27" s="1"/>
  <c r="E7" i="2" s="1"/>
  <c r="G59" i="28"/>
  <c r="G62" i="28" s="1"/>
  <c r="G90" i="28" s="1"/>
  <c r="G91" i="28" s="1"/>
  <c r="G92" i="28" s="1"/>
  <c r="F7" i="2" s="1"/>
  <c r="G54" i="12"/>
  <c r="G57" i="12" s="1"/>
  <c r="G85" i="12" s="1"/>
  <c r="G86" i="12" s="1"/>
  <c r="G87" i="12" s="1"/>
  <c r="G7" i="2" s="1"/>
  <c r="E54" i="10"/>
  <c r="F54" i="10" s="1"/>
  <c r="I54" i="10" s="1"/>
  <c r="J54" i="10" s="1"/>
  <c r="E59" i="28"/>
  <c r="E66" i="27"/>
  <c r="K13" i="25"/>
  <c r="K16" i="25" s="1"/>
  <c r="I24" i="22"/>
  <c r="I53" i="22" s="1"/>
  <c r="E55" i="25"/>
  <c r="C55" i="25" s="1"/>
  <c r="E57" i="12" l="1"/>
  <c r="E85" i="12" s="1"/>
  <c r="E86" i="12" s="1"/>
  <c r="E87" i="12" s="1"/>
  <c r="I54" i="12"/>
  <c r="J54" i="12" s="1"/>
  <c r="F59" i="28"/>
  <c r="I59" i="28" s="1"/>
  <c r="E62" i="28"/>
  <c r="I57" i="10"/>
  <c r="I85" i="10" s="1"/>
  <c r="I86" i="10" s="1"/>
  <c r="F66" i="27"/>
  <c r="I66" i="27" s="1"/>
  <c r="J66" i="27" s="1"/>
  <c r="E69" i="27"/>
  <c r="E57" i="10"/>
  <c r="K54" i="10"/>
  <c r="K57" i="10" s="1"/>
  <c r="K85" i="10" s="1"/>
  <c r="E57" i="25"/>
  <c r="C57" i="25" s="1"/>
  <c r="C13" i="25"/>
  <c r="K44" i="25"/>
  <c r="C16" i="25"/>
  <c r="I57" i="12" l="1"/>
  <c r="I85" i="12" s="1"/>
  <c r="F57" i="12"/>
  <c r="F85" i="12" s="1"/>
  <c r="F86" i="12" s="1"/>
  <c r="F87" i="12" s="1"/>
  <c r="E43" i="12" s="1"/>
  <c r="K54" i="12"/>
  <c r="K57" i="12" s="1"/>
  <c r="K85" i="12" s="1"/>
  <c r="J57" i="12"/>
  <c r="J85" i="12" s="1"/>
  <c r="J86" i="12" s="1"/>
  <c r="J87" i="12" s="1"/>
  <c r="J98" i="12" s="1"/>
  <c r="E90" i="28"/>
  <c r="E91" i="28" s="1"/>
  <c r="E92" i="28" s="1"/>
  <c r="F62" i="28"/>
  <c r="F90" i="28" s="1"/>
  <c r="F91" i="28" s="1"/>
  <c r="F92" i="28" s="1"/>
  <c r="J59" i="28"/>
  <c r="I62" i="28"/>
  <c r="I87" i="10"/>
  <c r="K66" i="27"/>
  <c r="K69" i="27" s="1"/>
  <c r="K97" i="27" s="1"/>
  <c r="K98" i="27" s="1"/>
  <c r="K99" i="27" s="1"/>
  <c r="K110" i="27" s="1"/>
  <c r="J69" i="27"/>
  <c r="J97" i="27" s="1"/>
  <c r="J98" i="27" s="1"/>
  <c r="J99" i="27" s="1"/>
  <c r="J110" i="27" s="1"/>
  <c r="I69" i="27"/>
  <c r="I97" i="27" s="1"/>
  <c r="I98" i="27" s="1"/>
  <c r="K86" i="10"/>
  <c r="K87" i="10" s="1"/>
  <c r="K98" i="10" s="1"/>
  <c r="E97" i="27"/>
  <c r="E98" i="27" s="1"/>
  <c r="E99" i="27" s="1"/>
  <c r="F69" i="27"/>
  <c r="F97" i="27" s="1"/>
  <c r="F98" i="27" s="1"/>
  <c r="F99" i="27" s="1"/>
  <c r="E55" i="27" s="1"/>
  <c r="E85" i="10"/>
  <c r="E86" i="10" s="1"/>
  <c r="F57" i="10"/>
  <c r="F85" i="10" s="1"/>
  <c r="F86" i="10" s="1"/>
  <c r="F87" i="10" s="1"/>
  <c r="E43" i="10" s="1"/>
  <c r="J57" i="10"/>
  <c r="L54" i="10"/>
  <c r="K45" i="25"/>
  <c r="C45" i="25" s="1"/>
  <c r="C44" i="25"/>
  <c r="G6" i="2" l="1"/>
  <c r="C100" i="12"/>
  <c r="F98" i="12"/>
  <c r="E48" i="28"/>
  <c r="B57" i="22"/>
  <c r="E6" i="2"/>
  <c r="C100" i="10"/>
  <c r="F6" i="2"/>
  <c r="K86" i="12"/>
  <c r="K87" i="12" s="1"/>
  <c r="K98" i="12" s="1"/>
  <c r="L57" i="12"/>
  <c r="I86" i="12"/>
  <c r="I87" i="12" s="1"/>
  <c r="L85" i="12"/>
  <c r="L54" i="12"/>
  <c r="K59" i="28"/>
  <c r="J62" i="28"/>
  <c r="J90" i="28" s="1"/>
  <c r="J91" i="28" s="1"/>
  <c r="J92" i="28" s="1"/>
  <c r="J103" i="28" s="1"/>
  <c r="C105" i="28"/>
  <c r="F103" i="28"/>
  <c r="I90" i="28"/>
  <c r="D6" i="2"/>
  <c r="D11" i="2" s="1"/>
  <c r="C112" i="27"/>
  <c r="L69" i="27"/>
  <c r="L66" i="27"/>
  <c r="F110" i="27"/>
  <c r="L97" i="27"/>
  <c r="L98" i="27"/>
  <c r="J85" i="10"/>
  <c r="J86" i="10" s="1"/>
  <c r="L57" i="10"/>
  <c r="E87" i="10"/>
  <c r="K46" i="25"/>
  <c r="C46" i="25" s="1"/>
  <c r="F64" i="22" l="1"/>
  <c r="F60" i="22"/>
  <c r="F58" i="22"/>
  <c r="F70" i="22"/>
  <c r="F62" i="22"/>
  <c r="F61" i="22"/>
  <c r="F59" i="22"/>
  <c r="F69" i="22"/>
  <c r="F63" i="22"/>
  <c r="F66" i="22"/>
  <c r="F65" i="22"/>
  <c r="F67" i="22"/>
  <c r="F68" i="22"/>
  <c r="E58" i="22"/>
  <c r="I98" i="12"/>
  <c r="L87" i="12"/>
  <c r="L98" i="12" s="1"/>
  <c r="L86" i="12"/>
  <c r="I91" i="28"/>
  <c r="I92" i="28" s="1"/>
  <c r="K62" i="28"/>
  <c r="L59" i="28"/>
  <c r="I99" i="27"/>
  <c r="J87" i="10"/>
  <c r="J98" i="10" s="1"/>
  <c r="F98" i="10"/>
  <c r="L85" i="10"/>
  <c r="E61" i="22" l="1"/>
  <c r="E59" i="22"/>
  <c r="E65" i="22"/>
  <c r="E64" i="22"/>
  <c r="E69" i="22"/>
  <c r="E60" i="22"/>
  <c r="E68" i="22"/>
  <c r="E63" i="22"/>
  <c r="E67" i="22"/>
  <c r="E62" i="22"/>
  <c r="E70" i="22"/>
  <c r="E66" i="22"/>
  <c r="K90" i="28"/>
  <c r="L62" i="28"/>
  <c r="I103" i="28"/>
  <c r="F10" i="2"/>
  <c r="F11" i="2"/>
  <c r="F12" i="2"/>
  <c r="L99" i="27"/>
  <c r="L110" i="27" s="1"/>
  <c r="I110" i="27"/>
  <c r="L86" i="10"/>
  <c r="E10" i="2"/>
  <c r="E11" i="2"/>
  <c r="E12" i="2"/>
  <c r="E23" i="2"/>
  <c r="I98" i="10"/>
  <c r="D10" i="2"/>
  <c r="L87" i="10"/>
  <c r="L98" i="10" s="1"/>
  <c r="F23" i="2"/>
  <c r="K91" i="28" l="1"/>
  <c r="L90" i="28"/>
  <c r="G10" i="2"/>
  <c r="D12" i="2"/>
  <c r="D23" i="2"/>
  <c r="K92" i="28" l="1"/>
  <c r="L91" i="28"/>
  <c r="G11" i="2"/>
  <c r="G12" i="2"/>
  <c r="G23" i="2"/>
  <c r="K103" i="28" l="1"/>
  <c r="L92" i="28"/>
  <c r="L103"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Eva Lerner</author>
  </authors>
  <commentList>
    <comment ref="D14" authorId="0" shapeId="0" xr:uid="{35877A94-ACA1-4F1F-A718-9D4342DECE24}">
      <text>
        <r>
          <rPr>
            <sz val="9"/>
            <color indexed="81"/>
            <rFont val="Tahoma"/>
            <family val="2"/>
          </rPr>
          <t>Add your anticipated number of FTEs below; the peach cells contain suggested numbers based on best practice</t>
        </r>
      </text>
    </comment>
    <comment ref="E14" authorId="0" shapeId="0" xr:uid="{56D73684-2BB9-4801-9FCF-98180B33BE9E}">
      <text>
        <r>
          <rPr>
            <sz val="9"/>
            <color indexed="81"/>
            <rFont val="Tahoma"/>
            <family val="2"/>
          </rPr>
          <t>Update salaries based on local competitive rates</t>
        </r>
      </text>
    </comment>
    <comment ref="D50" authorId="0" shapeId="0" xr:uid="{A175D7D7-645C-41F5-A487-7F19C70A8ED0}">
      <text>
        <r>
          <rPr>
            <sz val="9"/>
            <color indexed="81"/>
            <rFont val="Tahoma"/>
            <family val="2"/>
          </rPr>
          <t>Fill in the blue cells</t>
        </r>
      </text>
    </comment>
    <comment ref="E50" authorId="0" shapeId="0" xr:uid="{681188C4-3722-492D-8925-E0E0F24C8DE3}">
      <text>
        <r>
          <rPr>
            <sz val="9"/>
            <color indexed="81"/>
            <rFont val="Tahoma"/>
            <family val="2"/>
          </rPr>
          <t>Annual Medicaid Expenses equal any ongoing Medicaid expenses from Tab 9</t>
        </r>
      </text>
    </comment>
    <comment ref="F50" authorId="0" shapeId="0" xr:uid="{283F487B-CBF8-4933-9258-5277C1D903F0}">
      <text>
        <r>
          <rPr>
            <sz val="9"/>
            <color indexed="81"/>
            <rFont val="Tahoma"/>
            <family val="2"/>
          </rPr>
          <t>Annual Budget equals your Program Expenses along with your Annual Medicaid Expenses from Tab 9</t>
        </r>
      </text>
    </comment>
    <comment ref="G50" authorId="0" shapeId="0" xr:uid="{3D7B0B24-FDF5-4524-85C2-667C476887A2}">
      <text>
        <r>
          <rPr>
            <sz val="9"/>
            <color indexed="81"/>
            <rFont val="Tahoma"/>
            <family val="2"/>
          </rPr>
          <t>Start Up Expenses equals your General Start Up Costs from Tab 8 plus your Start Up Medicaid Expenses from Tab 9</t>
        </r>
      </text>
    </comment>
    <comment ref="I50" authorId="0" shapeId="0" xr:uid="{CFF9294C-06B9-4F96-B4C6-5ADC9E5E675E}">
      <text>
        <r>
          <rPr>
            <sz val="9"/>
            <color indexed="81"/>
            <rFont val="Tahoma"/>
            <family val="2"/>
          </rPr>
          <t>Year 1 equals your Annual Budget plus your Start Up Expenses</t>
        </r>
      </text>
    </comment>
    <comment ref="J50" authorId="0" shapeId="0" xr:uid="{D485D6BC-25C4-4161-8F9C-A05C652E89B5}">
      <text>
        <r>
          <rPr>
            <sz val="9"/>
            <color indexed="81"/>
            <rFont val="Tahoma"/>
            <family val="2"/>
          </rPr>
          <t>Year 2 equals Year 1 minus your Start Up Expenses times the Annual Inflation Rate</t>
        </r>
      </text>
    </comment>
    <comment ref="K50" authorId="0" shapeId="0" xr:uid="{B1E43A9D-87D4-4EE7-BA04-913EE37BE940}">
      <text>
        <r>
          <rPr>
            <sz val="9"/>
            <color indexed="81"/>
            <rFont val="Tahoma"/>
            <family val="2"/>
          </rPr>
          <t>Year 3 equals Year 2 times the annual inflation rate</t>
        </r>
      </text>
    </comment>
    <comment ref="L50" authorId="0" shapeId="0" xr:uid="{CA966A35-14C8-481A-B3FE-46B8120AD808}">
      <text>
        <r>
          <rPr>
            <sz val="9"/>
            <color indexed="81"/>
            <rFont val="Tahoma"/>
            <family val="2"/>
          </rPr>
          <t>Grand Total equals the sum of Years 1-3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Eva Lerner</author>
  </authors>
  <commentList>
    <comment ref="D25" authorId="0" shapeId="0" xr:uid="{90497091-23A8-42B9-A5A1-FD9F0FE41C2C}">
      <text>
        <r>
          <rPr>
            <sz val="9"/>
            <color indexed="81"/>
            <rFont val="Tahoma"/>
            <family val="2"/>
          </rPr>
          <t>Add your anticipated or current # of FTEs in the blue cells; below are suggested #s based on best practice</t>
        </r>
      </text>
    </comment>
    <comment ref="E25" authorId="0" shapeId="0" xr:uid="{1A34122A-5447-4EDC-B4DC-640F901AF020}">
      <text>
        <r>
          <rPr>
            <sz val="9"/>
            <color indexed="81"/>
            <rFont val="Tahoma"/>
            <family val="2"/>
          </rPr>
          <t>Update salaries based on local competitive rates</t>
        </r>
      </text>
    </comment>
    <comment ref="D62" authorId="0" shapeId="0" xr:uid="{FD01DAC2-60EA-48EF-B8B3-C118160CC878}">
      <text>
        <r>
          <rPr>
            <sz val="9"/>
            <color indexed="81"/>
            <rFont val="Tahoma"/>
            <family val="2"/>
          </rPr>
          <t>Fill in the blue cells</t>
        </r>
      </text>
    </comment>
    <comment ref="E62" authorId="0" shapeId="0" xr:uid="{E84E1A9E-F3B0-400B-AB3A-CABB08A05FB6}">
      <text>
        <r>
          <rPr>
            <sz val="9"/>
            <color indexed="81"/>
            <rFont val="Tahoma"/>
            <family val="2"/>
          </rPr>
          <t>Annual Medicaid Expenses equal any ongoing Medicaid expenses from Tab 9</t>
        </r>
      </text>
    </comment>
    <comment ref="F62" authorId="0" shapeId="0" xr:uid="{3E8F6271-A169-4D2A-BFDC-D52ACC167BD9}">
      <text>
        <r>
          <rPr>
            <sz val="9"/>
            <color indexed="81"/>
            <rFont val="Tahoma"/>
            <family val="2"/>
          </rPr>
          <t>Annual Budget equals your Program Expenses plus your Annual Medicaid Expenses from Tab 9</t>
        </r>
      </text>
    </comment>
    <comment ref="G62" authorId="0" shapeId="0" xr:uid="{952552D3-9658-43AE-B062-042A352DA4B6}">
      <text>
        <r>
          <rPr>
            <sz val="9"/>
            <color indexed="81"/>
            <rFont val="Tahoma"/>
            <family val="2"/>
          </rPr>
          <t>Start Up Expenses equals your General Start Up Costs from Tab 8 plus your Start Up Medicaid Expenses from Tab 9</t>
        </r>
      </text>
    </comment>
    <comment ref="I62" authorId="0" shapeId="0" xr:uid="{F3646AA7-3C64-4E60-849A-B9F9210E6401}">
      <text>
        <r>
          <rPr>
            <sz val="9"/>
            <color indexed="81"/>
            <rFont val="Tahoma"/>
            <family val="2"/>
          </rPr>
          <t>Year 1 equals your Annual Budget plus your Start Up Expenses</t>
        </r>
      </text>
    </comment>
    <comment ref="J62" authorId="0" shapeId="0" xr:uid="{DBEB6D42-DFF5-4CE4-9803-2436EC0EB15A}">
      <text>
        <r>
          <rPr>
            <sz val="9"/>
            <color indexed="81"/>
            <rFont val="Tahoma"/>
            <family val="2"/>
          </rPr>
          <t>Year 2 equals Year 1 minus your Start Up Expenses (equivalent to your Annual Budget WITHOUT Start Up Expenses) times the Annual Inflation Rate</t>
        </r>
      </text>
    </comment>
    <comment ref="K62" authorId="0" shapeId="0" xr:uid="{B3EFFDF5-C733-42B5-8AB3-50BD54B2A93B}">
      <text>
        <r>
          <rPr>
            <sz val="9"/>
            <color indexed="81"/>
            <rFont val="Tahoma"/>
            <family val="2"/>
          </rPr>
          <t>Year 3 equals Year 2 times the annual inflation rate</t>
        </r>
      </text>
    </comment>
    <comment ref="L62" authorId="0" shapeId="0" xr:uid="{0379F27B-473E-43DF-BCAD-298B50FA970D}">
      <text>
        <r>
          <rPr>
            <sz val="9"/>
            <color indexed="81"/>
            <rFont val="Tahoma"/>
            <family val="2"/>
          </rPr>
          <t>Grand Total equals the sum of Years 1-3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Eva Lerner</author>
  </authors>
  <commentList>
    <comment ref="D22" authorId="0" shapeId="0" xr:uid="{08C07565-EEB9-4296-B4D9-7B029283052D}">
      <text>
        <r>
          <rPr>
            <sz val="9"/>
            <color indexed="81"/>
            <rFont val="Tahoma"/>
            <family val="2"/>
          </rPr>
          <t>Add your anticipated number of FTEs in the blue cells; below are suggested numbers basd on best practice</t>
        </r>
      </text>
    </comment>
    <comment ref="E22" authorId="0" shapeId="0" xr:uid="{B5062CA2-4B6F-4D4D-BE61-133B3AE41E06}">
      <text>
        <r>
          <rPr>
            <sz val="9"/>
            <color indexed="81"/>
            <rFont val="Tahoma"/>
            <family val="2"/>
          </rPr>
          <t>Update salaries based on local competitive rates</t>
        </r>
      </text>
    </comment>
    <comment ref="D55" authorId="0" shapeId="0" xr:uid="{13E8ABDA-B880-4B00-956C-C7633CBD1A80}">
      <text>
        <r>
          <rPr>
            <sz val="9"/>
            <color indexed="81"/>
            <rFont val="Tahoma"/>
            <family val="2"/>
          </rPr>
          <t>Fill in the blue cells</t>
        </r>
      </text>
    </comment>
    <comment ref="E55" authorId="0" shapeId="0" xr:uid="{52D82A20-47E6-4307-9729-4D296E0A6CE3}">
      <text>
        <r>
          <rPr>
            <sz val="9"/>
            <color indexed="81"/>
            <rFont val="Tahoma"/>
            <family val="2"/>
          </rPr>
          <t>Annual Medicaid Expenses equal any ongoing Medicaid expenses from Tab 9</t>
        </r>
      </text>
    </comment>
    <comment ref="F55" authorId="0" shapeId="0" xr:uid="{3B7E4DC4-3BDA-441C-8070-3CFE18D43807}">
      <text>
        <r>
          <rPr>
            <sz val="9"/>
            <color indexed="81"/>
            <rFont val="Tahoma"/>
            <family val="2"/>
          </rPr>
          <t>Annual Budget equals your Program Expenses plus your Annual Medicaid Expenses from Tab 9</t>
        </r>
      </text>
    </comment>
    <comment ref="G55" authorId="0" shapeId="0" xr:uid="{12753CAD-4C16-491E-B3EF-78C6928F59E8}">
      <text>
        <r>
          <rPr>
            <sz val="9"/>
            <color indexed="81"/>
            <rFont val="Tahoma"/>
            <family val="2"/>
          </rPr>
          <t>Start Up Expenses equals your General Start Up Costs from Tab 8 plus your Start Up Medicaid Expenses from Tab 9</t>
        </r>
      </text>
    </comment>
    <comment ref="I55" authorId="0" shapeId="0" xr:uid="{BF75C051-8193-47E5-9012-7493BD2905CC}">
      <text>
        <r>
          <rPr>
            <sz val="9"/>
            <color indexed="81"/>
            <rFont val="Tahoma"/>
            <family val="2"/>
          </rPr>
          <t>Year 1 equals your Annual Budget plus your Start Up Expenses</t>
        </r>
      </text>
    </comment>
    <comment ref="J55" authorId="0" shapeId="0" xr:uid="{EA9E93F1-F602-40CA-BC4F-7864B30CB2BE}">
      <text>
        <r>
          <rPr>
            <sz val="9"/>
            <color indexed="81"/>
            <rFont val="Tahoma"/>
            <family val="2"/>
          </rPr>
          <t>Year 2 equals Year 1 minus your Start Up Expenses (equivalent to your Annual Budget WITHOUT Start Up Expenses) times the Annual Inflation Rate</t>
        </r>
      </text>
    </comment>
    <comment ref="K55" authorId="0" shapeId="0" xr:uid="{6BC2D687-424B-405D-B245-DB75D088D2AB}">
      <text>
        <r>
          <rPr>
            <sz val="9"/>
            <color indexed="81"/>
            <rFont val="Tahoma"/>
            <family val="2"/>
          </rPr>
          <t>Year 3 equals Year 2 times the annual inflation rate</t>
        </r>
      </text>
    </comment>
    <comment ref="L55" authorId="0" shapeId="0" xr:uid="{9C55134F-0536-4520-9B54-E3658C37E8DA}">
      <text>
        <r>
          <rPr>
            <sz val="9"/>
            <color indexed="81"/>
            <rFont val="Tahoma"/>
            <family val="2"/>
          </rPr>
          <t>Grand Total equals the sum of Years 1-3</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Eva Lerner</author>
  </authors>
  <commentList>
    <comment ref="D18" authorId="0" shapeId="0" xr:uid="{45EA1BD3-D6CD-4E5B-91F7-7A3D0D0CFCCA}">
      <text>
        <r>
          <rPr>
            <sz val="9"/>
            <color indexed="81"/>
            <rFont val="Tahoma"/>
            <family val="2"/>
          </rPr>
          <t>Add your anticipated # of FTEs to the blue cells; below are suggested #s based on best practices</t>
        </r>
      </text>
    </comment>
    <comment ref="E18" authorId="0" shapeId="0" xr:uid="{CA6A3DD1-30BA-4B10-AE88-547D09225115}">
      <text>
        <r>
          <rPr>
            <sz val="9"/>
            <color indexed="81"/>
            <rFont val="Tahoma"/>
            <family val="2"/>
          </rPr>
          <t>Update salaries based on local competitive rates</t>
        </r>
      </text>
    </comment>
    <comment ref="D50" authorId="0" shapeId="0" xr:uid="{7E0DC4FD-EDE8-4C6E-ACD8-B89080F9D313}">
      <text>
        <r>
          <rPr>
            <sz val="9"/>
            <color indexed="81"/>
            <rFont val="Tahoma"/>
            <family val="2"/>
          </rPr>
          <t>Fill in the blue cells</t>
        </r>
      </text>
    </comment>
    <comment ref="E50" authorId="0" shapeId="0" xr:uid="{371375BE-CD79-4FE8-94DE-4C1A8C1D8242}">
      <text>
        <r>
          <rPr>
            <sz val="9"/>
            <color indexed="81"/>
            <rFont val="Tahoma"/>
            <family val="2"/>
          </rPr>
          <t>Annual Medicaid Expenses equal any ongoing Medicaid expenses from Tab 9</t>
        </r>
      </text>
    </comment>
    <comment ref="F50" authorId="0" shapeId="0" xr:uid="{0535AAD8-8D4D-4CFF-9267-FD2F0AE2DD07}">
      <text>
        <r>
          <rPr>
            <sz val="9"/>
            <color indexed="81"/>
            <rFont val="Tahoma"/>
            <family val="2"/>
          </rPr>
          <t>Annual Budget equals your Program Expenses plus your Annual Medicaid Expenses from Tab 9</t>
        </r>
      </text>
    </comment>
    <comment ref="G50" authorId="0" shapeId="0" xr:uid="{C77A2551-7FAD-449B-8524-C96AB43E4E7B}">
      <text>
        <r>
          <rPr>
            <sz val="9"/>
            <color indexed="81"/>
            <rFont val="Tahoma"/>
            <family val="2"/>
          </rPr>
          <t>Start Up Expenses equals your General Start Up Costs from Tab 8 plus your Start Up Medicaid Expenses from Tab 9</t>
        </r>
      </text>
    </comment>
    <comment ref="I50" authorId="0" shapeId="0" xr:uid="{4DAC34A1-D08A-4253-9A01-8EFDC9989E05}">
      <text>
        <r>
          <rPr>
            <sz val="9"/>
            <color indexed="81"/>
            <rFont val="Tahoma"/>
            <family val="2"/>
          </rPr>
          <t>Year 1 equals your Annual Budget plus your Start Up Expenses</t>
        </r>
      </text>
    </comment>
    <comment ref="J50" authorId="0" shapeId="0" xr:uid="{26C6C12E-712D-4AB9-B132-81826A81443F}">
      <text>
        <r>
          <rPr>
            <sz val="9"/>
            <color indexed="81"/>
            <rFont val="Tahoma"/>
            <family val="2"/>
          </rPr>
          <t>Year 2 equals Year 1 minus your Start Up Expenses (equivalent to your Annual Budget WITHOUT Start Up Expenses) times the Annual Inflation Rate</t>
        </r>
      </text>
    </comment>
    <comment ref="K50" authorId="0" shapeId="0" xr:uid="{A73CFDAD-835B-4FAC-8A2C-93E8C3360B27}">
      <text>
        <r>
          <rPr>
            <sz val="9"/>
            <color indexed="81"/>
            <rFont val="Tahoma"/>
            <family val="2"/>
          </rPr>
          <t>Year 3 equals Year 2 times the annual inflation rate</t>
        </r>
      </text>
    </comment>
    <comment ref="L50" authorId="0" shapeId="0" xr:uid="{56CED6E4-A62B-4C88-AA76-37F91AD8BF14}">
      <text>
        <r>
          <rPr>
            <sz val="9"/>
            <color indexed="81"/>
            <rFont val="Tahoma"/>
            <family val="2"/>
          </rPr>
          <t>Grand Total equals the sum of Years 1-3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Eva Lerner</author>
  </authors>
  <commentList>
    <comment ref="C7" authorId="0" shapeId="0" xr:uid="{896AFC77-DE33-41BE-9F8D-E173D02F11BA}">
      <text>
        <r>
          <rPr>
            <sz val="9"/>
            <color indexed="81"/>
            <rFont val="Tahoma"/>
            <family val="2"/>
          </rPr>
          <t>Ex. Per employee, per month, one-time payment,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Eva Lerner</author>
    <author>Cheryl Winter</author>
  </authors>
  <commentList>
    <comment ref="F16" authorId="0" shapeId="0" xr:uid="{399539F2-7FB8-4E3A-BB56-285C14A1F522}">
      <text>
        <r>
          <rPr>
            <sz val="9"/>
            <color indexed="81"/>
            <rFont val="Tahoma"/>
            <family val="2"/>
          </rPr>
          <t>Costs range between $10,000-$30,000; for this budget template we are using the average</t>
        </r>
      </text>
    </comment>
    <comment ref="F17" authorId="0" shapeId="0" xr:uid="{886D23E0-A473-4D78-B13F-AA6C6658723C}">
      <text>
        <r>
          <rPr>
            <sz val="9"/>
            <color indexed="81"/>
            <rFont val="Tahoma"/>
            <family val="2"/>
          </rPr>
          <t>Monthly claim amount</t>
        </r>
      </text>
    </comment>
    <comment ref="G17" authorId="0" shapeId="0" xr:uid="{75DE02BD-7386-44B8-ADE6-97723AA38FD7}">
      <text>
        <r>
          <rPr>
            <sz val="9"/>
            <color indexed="81"/>
            <rFont val="Tahoma"/>
            <family val="2"/>
          </rPr>
          <t>Typically costs 5-8% of Medcaid reimbursement received; for this budget template we are using the average.</t>
        </r>
      </text>
    </comment>
    <comment ref="F40" authorId="1" shapeId="0" xr:uid="{00000000-0006-0000-0800-000001000000}">
      <text>
        <r>
          <rPr>
            <sz val="9"/>
            <color indexed="81"/>
            <rFont val="Tahoma"/>
            <family val="2"/>
          </rPr>
          <t>G Suite for non profits charges between $8-25 per user per month, up to $300 per staff member per year for email encryption.</t>
        </r>
      </text>
    </comment>
  </commentList>
</comments>
</file>

<file path=xl/sharedStrings.xml><?xml version="1.0" encoding="utf-8"?>
<sst xmlns="http://schemas.openxmlformats.org/spreadsheetml/2006/main" count="914" uniqueCount="423">
  <si>
    <t>Introduction and Quick Links</t>
  </si>
  <si>
    <t>Click on any box below to take you to the corresponding weblink</t>
  </si>
  <si>
    <t>USER GUIDE</t>
  </si>
  <si>
    <t xml:space="preserve">TRAINING ON STAFFING MODELS,
APPROACHES &amp; SERVICES FUNDING </t>
  </si>
  <si>
    <t>CONTACT CSH FOR TECHNICAL ASSISTANCE</t>
  </si>
  <si>
    <t>CSH recommends the additional considerations when using this tool:</t>
  </si>
  <si>
    <t>1. Organizations should be reviewing salary scales every 3-5 years in  your local area to ensure budgeted salaries are meeting or exceeding the local labor market standards.</t>
  </si>
  <si>
    <t>2. As organizations explore a variety of reimbursement strategies, one rate structure alone is unlikely to be sufficient for meeting all program costs due to funding restrictions and other limitations.</t>
  </si>
  <si>
    <t>3. This tool includes recommended caseload sizes as indicated by evidence based practice.  You may add populations or adjust caseload sizes as needed for your organization's program or specific model.</t>
  </si>
  <si>
    <t>Notes:</t>
  </si>
  <si>
    <r>
      <rPr>
        <b/>
        <sz val="12"/>
        <color theme="1"/>
        <rFont val="Calibri"/>
        <family val="2"/>
        <scheme val="minor"/>
      </rPr>
      <t>Blue boxes</t>
    </r>
    <r>
      <rPr>
        <sz val="12"/>
        <color theme="1"/>
        <rFont val="Calibri"/>
        <family val="2"/>
        <scheme val="minor"/>
      </rPr>
      <t xml:space="preserve"> indicate inputs that impact formulas and outputs; </t>
    </r>
    <r>
      <rPr>
        <b/>
        <sz val="12"/>
        <color theme="1"/>
        <rFont val="Calibri"/>
        <family val="2"/>
        <scheme val="minor"/>
      </rPr>
      <t>please change these cells to desired values.</t>
    </r>
  </si>
  <si>
    <r>
      <rPr>
        <b/>
        <sz val="12"/>
        <color theme="1"/>
        <rFont val="Calibri"/>
        <family val="2"/>
        <scheme val="minor"/>
      </rPr>
      <t>Green boxes</t>
    </r>
    <r>
      <rPr>
        <sz val="12"/>
        <color theme="1"/>
        <rFont val="Calibri"/>
        <family val="2"/>
        <scheme val="minor"/>
      </rPr>
      <t xml:space="preserve"> indicate outputs linked from other cells' inputs; </t>
    </r>
    <r>
      <rPr>
        <b/>
        <sz val="12"/>
        <color theme="1"/>
        <rFont val="Calibri"/>
        <family val="2"/>
        <scheme val="minor"/>
      </rPr>
      <t>please do NOT change these cells.</t>
    </r>
  </si>
  <si>
    <t>All figures are examples only. Salaries are intended to be changed to local estimates by the user. Caseloads and other assumptions are based on best practice drawn from Evidence-Based Practice and promising practices for supportive housing serving the most vulnerable populations within a community.</t>
  </si>
  <si>
    <t>Questions?</t>
  </si>
  <si>
    <t>Please direct all questions and concerns about the model structure to consulting@csh.org</t>
  </si>
  <si>
    <t>Budget Summary Output</t>
  </si>
  <si>
    <t>The Budget Summary Output tab is intended to serve as the landing page of cost summaries by staffing model. The information in the green cells below are calculated from data entered into tabs 3-9 that then generate the totals in Columns D-G.</t>
  </si>
  <si>
    <t>Summary of Costs Based on Inputs (Staffing Model Tabs 4-7)</t>
  </si>
  <si>
    <t>Assertive Community Treatment</t>
  </si>
  <si>
    <t>Intensive Case Management</t>
  </si>
  <si>
    <t xml:space="preserve">Tenancy Support Services </t>
  </si>
  <si>
    <t>Critical Time Intervention</t>
  </si>
  <si>
    <t>Number of FTE Employees</t>
  </si>
  <si>
    <t>Start Up Costs</t>
  </si>
  <si>
    <t>Total Number of Tenants/Clients</t>
  </si>
  <si>
    <t>Total Units of Service</t>
  </si>
  <si>
    <t>Cost Per Unit</t>
  </si>
  <si>
    <t>Per Tenant Per Month Cost</t>
  </si>
  <si>
    <t>Per Tenant Per Year Cost</t>
  </si>
  <si>
    <t>Summary of Revenue Based on Inputs (Tabs 4-7)</t>
  </si>
  <si>
    <t>In-Kind / Community Partner Service</t>
  </si>
  <si>
    <t>Program Service Fees</t>
  </si>
  <si>
    <t>Grants</t>
  </si>
  <si>
    <t>Private Insurance</t>
  </si>
  <si>
    <t>Medicaid Reimbursement</t>
  </si>
  <si>
    <t>Other Revenue</t>
  </si>
  <si>
    <t>Total</t>
  </si>
  <si>
    <t>Net</t>
  </si>
  <si>
    <t>Annual Total Budget Summary</t>
  </si>
  <si>
    <t>The Annual Total Budget Summary shows your total program cost and revenue, and is based on the inputs from Tab 3 Basic Inputs &amp; Assumptions and Tabs 4-9. It sums the total cost of each model you selected Yes to in Tab 3, as well as the General Start Up and New Medicaid Provider Costs if you selected Yes to them in Tab 3. Anything you did NOT select (i.e. selected "No" on Tab 3) is not included in the total budget.</t>
  </si>
  <si>
    <t>Models Included in Total:</t>
  </si>
  <si>
    <t>ANNUAL TOTAL BUDGET SUMMARY</t>
  </si>
  <si>
    <t>A. PERSONNEL EXPENSES</t>
  </si>
  <si>
    <t>4. ACT</t>
  </si>
  <si>
    <t>5. ICM</t>
  </si>
  <si>
    <t>6. TSS</t>
  </si>
  <si>
    <t>7. CTI</t>
  </si>
  <si>
    <t>8. General Start Up</t>
  </si>
  <si>
    <t>9. New Medicaid Provider</t>
  </si>
  <si>
    <t>Wages and Salaries</t>
  </si>
  <si>
    <t>Employee Benefits</t>
  </si>
  <si>
    <t>Contract Personnel</t>
  </si>
  <si>
    <t>Other Personnel Expenses</t>
  </si>
  <si>
    <t>Staff Development &amp; Training</t>
  </si>
  <si>
    <t>Subtotal Personnel Expenses</t>
  </si>
  <si>
    <t>B. OPERATING EXPENSES</t>
  </si>
  <si>
    <t>Rent</t>
  </si>
  <si>
    <t>Utilities</t>
  </si>
  <si>
    <t>Building Insurance</t>
  </si>
  <si>
    <t>Housekeeping</t>
  </si>
  <si>
    <t>Communications (Phone, Data)</t>
  </si>
  <si>
    <t>Office Supplies</t>
  </si>
  <si>
    <t>Profesional Liability Insurance</t>
  </si>
  <si>
    <t>Estimated Mileage</t>
  </si>
  <si>
    <t>Mileage Rate</t>
  </si>
  <si>
    <t>Est. Miles Per Day Per FTE</t>
  </si>
  <si>
    <t>Est. # FTE Traveling</t>
  </si>
  <si>
    <t>Vehicles</t>
  </si>
  <si>
    <t>Vehicle Insurance</t>
  </si>
  <si>
    <t>Vehicle Expenses (Upkeep)</t>
  </si>
  <si>
    <t>Client Transportation</t>
  </si>
  <si>
    <t>Building Renovations</t>
  </si>
  <si>
    <t>Furnishing/Equipment (EHR or HMIS licenses, computers, desks, chairs, filing, copier)</t>
  </si>
  <si>
    <t>Nursing equipment (e.g., scale, blood-pressure cuffs, stethoscopes, thermometers, injection supplies, etc)</t>
  </si>
  <si>
    <t>Minor Household Equipment</t>
  </si>
  <si>
    <t>Furniture/Equipment Repairs</t>
  </si>
  <si>
    <t>Miscellaneous Expenses (Client Emergency Fund, Tenant supplies)</t>
  </si>
  <si>
    <t>Security Deposits</t>
  </si>
  <si>
    <t>Subtotal Operating Expenses</t>
  </si>
  <si>
    <t>C. TOTAL DIRECT</t>
  </si>
  <si>
    <t>D. ADMINISTRATION (INDIRECT)</t>
  </si>
  <si>
    <t>E. TOTAL PROGRAM COSTS</t>
  </si>
  <si>
    <t>F. REVENUE</t>
  </si>
  <si>
    <t>In Kind /Community Partner Service</t>
  </si>
  <si>
    <t>TOTAL REVENUE</t>
  </si>
  <si>
    <t xml:space="preserve">G. NET </t>
  </si>
  <si>
    <t>Basic Inputs and Assumptions</t>
  </si>
  <si>
    <t>The Basic Inputs and Assumptions tab allows the user the option to change certain caseload, staffing, transportation, inflation and other budget assumptions built into the tool. Changing assumptions here in Tab 3 then apply the altered assumptions to Tabs 4-9. Blue cells indicate assumptions that can be changed.</t>
  </si>
  <si>
    <t>Yes</t>
  </si>
  <si>
    <t>Follow link to Staffing Model Budget Tab</t>
  </si>
  <si>
    <t>Want to explore the Staffing Models more?</t>
  </si>
  <si>
    <t>Assertive Community Treatment (ACT)</t>
  </si>
  <si>
    <t>Link to ACT Staffing Model Budget Tab</t>
  </si>
  <si>
    <t>About the ACT Staffing Model</t>
  </si>
  <si>
    <t>Intensive Case Management (ICM)</t>
  </si>
  <si>
    <t>Link to ICM Staffing Model Budget Tab</t>
  </si>
  <si>
    <t>About the ICM Staffing Model</t>
  </si>
  <si>
    <t>No</t>
  </si>
  <si>
    <t>Tenancy Support Service Coordination (TSS)</t>
  </si>
  <si>
    <t>Link to TSS Staffing Model Budget Tab</t>
  </si>
  <si>
    <t>About the TSS Staffing Model</t>
  </si>
  <si>
    <t>Critical Time Intervention (CTI)</t>
  </si>
  <si>
    <t>Link to CTI Staffing Model Budget Tab</t>
  </si>
  <si>
    <t>About the CTI Staffing Model</t>
  </si>
  <si>
    <t>Input for Tailoring</t>
  </si>
  <si>
    <t>Administrative/Indirect Rates</t>
  </si>
  <si>
    <t>Mileage Rates</t>
  </si>
  <si>
    <t>Annual Inflation</t>
  </si>
  <si>
    <t>Annual inflation is currently set to assume a 5% increase in costs each year. This will need to be adjusted as inflation rates vary.</t>
  </si>
  <si>
    <t>Fringe</t>
  </si>
  <si>
    <t>Target population</t>
  </si>
  <si>
    <t>Scattered Site Case Load</t>
  </si>
  <si>
    <t>Single Site Case Load</t>
  </si>
  <si>
    <t>ACT Target Populations include: people with serious mental illness, most often those with co-occurring substance use disorders and/or multiple other chronic health conditions. Program fidelity does not advise changing case load sizes for ACT.</t>
  </si>
  <si>
    <t>ICM Caseloads</t>
  </si>
  <si>
    <t xml:space="preserve">Individuals </t>
  </si>
  <si>
    <t>Families</t>
  </si>
  <si>
    <t>Individuals with dual dx SUD/SMI</t>
  </si>
  <si>
    <t>Individuals with ID/DD</t>
  </si>
  <si>
    <t>Older adults</t>
  </si>
  <si>
    <t>Transition Age Youth</t>
  </si>
  <si>
    <t>Tenancy Support Caseloads</t>
  </si>
  <si>
    <t>CTI Caseloads</t>
  </si>
  <si>
    <t>Number of staff supervised by one supervisor</t>
  </si>
  <si>
    <t xml:space="preserve">People with lived experience can and should be hired in all roles.  This budget tool recognizes models with positions that require someone with lived experience. </t>
  </si>
  <si>
    <t xml:space="preserve">Productivity is defined as time spent on behalf of the client directly or with collateral contacts. Time spent on training or admin is not included in productivity calculations. </t>
  </si>
  <si>
    <t>Administrative and Director roles are not included in any productivity and unit of service calculations.</t>
  </si>
  <si>
    <t xml:space="preserve">For ACT, productivity calculation and units of service calculations is assumed at 50% for the team lead. The pyschiatrist was not included in productivity calculations. </t>
  </si>
  <si>
    <t>This worksheet is using the assumption that Intensive Case Management and Medicaid Waiver Tenancy Supports will need lower caseload ratios, as many supportive housing programs are serving tenants with increasingly complex needs through coordinated entry.</t>
  </si>
  <si>
    <t>Assertive Community Treatment (ACT) Staffing &amp; Budget Model</t>
  </si>
  <si>
    <t>About the Assertive Community Treatment (ACT) Staffing Model for housing-related services and supports:</t>
  </si>
  <si>
    <t># of Tenants*</t>
  </si>
  <si>
    <t>Recommended FTE CMs</t>
  </si>
  <si>
    <t>Total clients</t>
  </si>
  <si>
    <t>FTE</t>
  </si>
  <si>
    <t>Annual Salary (per FTE)</t>
  </si>
  <si>
    <t>Psychiatric Nurse</t>
  </si>
  <si>
    <t>Employment Specialist</t>
  </si>
  <si>
    <t>Peer Specialist</t>
  </si>
  <si>
    <t>Substance Abuse Specialist</t>
  </si>
  <si>
    <t>Total Billing Staff</t>
  </si>
  <si>
    <t>Program Director</t>
  </si>
  <si>
    <t>Administrative Support</t>
  </si>
  <si>
    <t>Psychiatrist</t>
  </si>
  <si>
    <t>ACT Team Leader (licensed clinical supervisor)</t>
  </si>
  <si>
    <t>Total Staff</t>
  </si>
  <si>
    <t>FTE Hrs/Week</t>
  </si>
  <si>
    <t>Holiday days</t>
  </si>
  <si>
    <t>We recommend at least the 10.0 Federal holiday days</t>
  </si>
  <si>
    <t>PTO days</t>
  </si>
  <si>
    <t>We recommend 20.0 PTO days</t>
  </si>
  <si>
    <t>Personal days</t>
  </si>
  <si>
    <t>We recommend 3.0 personal days</t>
  </si>
  <si>
    <t>Other days off</t>
  </si>
  <si>
    <t>We recommend 1.0 other days off</t>
  </si>
  <si>
    <t>Reimbursement Type</t>
  </si>
  <si>
    <t>15-minute increments</t>
  </si>
  <si>
    <t>Reimbursement Rate</t>
  </si>
  <si>
    <t>Productivity</t>
  </si>
  <si>
    <t>Avg. # Clients Seen per Day</t>
  </si>
  <si>
    <t>Year 1</t>
  </si>
  <si>
    <t>Year 2</t>
  </si>
  <si>
    <t>Year 3</t>
  </si>
  <si>
    <t>Assumed annual inflation</t>
  </si>
  <si>
    <t>Intensive Case Management (ICM) Staffing &amp; Budget Model</t>
  </si>
  <si>
    <t>About the Intensive Case Management (ICM) Staffing Model for housing-related services and supports</t>
  </si>
  <si>
    <t xml:space="preserve">Intensive Case Management is a a case management model intended for higher acuity clients with multiple co-occurring chronic conditions that require a smaller case load size than classic case management. Some states fund ICM as an individual case load approach while others fund ICM as a team-based shared caseload approach. Intensive case management has a moderate evidence base that demonstrates potential for improved health outcomes, housing stability, and reductions in crisis care (Emergency Departments, hospital overnight stays). Systematic reviews of ICM conclude that the closer the ICM staffing model is to Assertive Community Treatment, the more likely positive program outcomes will be achieved. ICM staff are intended to provide a multi-disciplinary approach to case management, yet team structure and specialties can be determined based on the target population and wrap-around service needs of that target population. </t>
  </si>
  <si>
    <t>Target Population</t>
  </si>
  <si>
    <t>Specialist Case Manager (if applic)</t>
  </si>
  <si>
    <t>Social Worker (LCSW)</t>
  </si>
  <si>
    <t>Social Worker (LMSW)</t>
  </si>
  <si>
    <t>Vocational or Employment Specialist</t>
  </si>
  <si>
    <t>Certified Addictions Counselor</t>
  </si>
  <si>
    <t>Housing Specialist</t>
  </si>
  <si>
    <t>Supervisor</t>
  </si>
  <si>
    <t>SH Tenancy Support Services Staffing &amp; Budget Model</t>
  </si>
  <si>
    <t>About the Supportive Housing (SH) Tenancy Supports Staffing Model for housing-related services and supports</t>
  </si>
  <si>
    <t xml:space="preserve"> </t>
  </si>
  <si>
    <t>Recommended Caseload</t>
  </si>
  <si>
    <t>#FTEs</t>
  </si>
  <si>
    <t>Select</t>
  </si>
  <si>
    <t>Housing Manager (liason with landlord)</t>
  </si>
  <si>
    <t>Critical Time Intervention Staffing &amp; Budget Model*</t>
  </si>
  <si>
    <t>About the Critical Time Intervention (CTI) Staffing Model for housing-related services and supports</t>
  </si>
  <si>
    <t xml:space="preserve">Critical Time Intervention is a time-limited approach using a brokerage case management that emphasizes intentional connections and coordination with mainstream community providers to ensure ongoing support from mainstream services providers as CTI services taper down over a nine month period. CTI can be a successful intervention for tenants in rapid rehousing with low to moderate acuity. It can also be used in permanent supportive housing when CTI services are transitioning tenants from outreach and crisis services to mainstream ACT and ICM providers once housed and working toward housing stability. CTI is an evidence based approach with multiple stages of engagement and program fidelity standards for individuals and families. More on CTI can be found at criticaltimeintervention.org and in the References and Resources section of the Services Budget Tool online folder.
*CTI is based on a 9 month, three phase period of engagement.  This model is based on an ongoing standardized caseload ratio, assuming some indivudals are entering services, others are exiting. 
</t>
  </si>
  <si>
    <t>CTI Workers</t>
  </si>
  <si>
    <t>Supervisor / Field Work Coordinator</t>
  </si>
  <si>
    <t>Specialist Position (if applic.)</t>
  </si>
  <si>
    <t xml:space="preserve">General Startup Costs </t>
  </si>
  <si>
    <t xml:space="preserve">The expenses below are those that your organization might incur when preparing to begin a new service delivery program. While some organizations choose to increase these costs as part of the Year 1 budget, it may also be helpful to create a distinct startup budget. If your organization has not yet hired or trained staff for supportive housing services, you will want to identify which of these costs below you expect to incur in your first year. Some startup costs may also be incurred in future program years if you are continuing to add staff and serve additional tenants beyond Year 1. Please include only those expenses that are relevant for your organization along with estimated costs. You may also use the blank lines in each section to add additional expenses not listed.  Costs that you list in this section are aggregated and included in each service model budget under the "StartUp" Column. </t>
  </si>
  <si>
    <t>Basis</t>
  </si>
  <si>
    <t>Cost</t>
  </si>
  <si>
    <t># of Units</t>
  </si>
  <si>
    <t xml:space="preserve">Total </t>
  </si>
  <si>
    <t>Notes</t>
  </si>
  <si>
    <t xml:space="preserve">Advertising/Posting </t>
  </si>
  <si>
    <t>Costs of posting on hiring websites or search firms</t>
  </si>
  <si>
    <t>Signing Bonuses</t>
  </si>
  <si>
    <t>If necessary given local market conditions, per employee signing bonuses</t>
  </si>
  <si>
    <t>Background Checks</t>
  </si>
  <si>
    <t>Costs of background checks for each hired employee, if used</t>
  </si>
  <si>
    <t>Bonuses or overtime pay for covering additional case loads while hiring new staff/ramping up to a full team.</t>
  </si>
  <si>
    <t>Other</t>
  </si>
  <si>
    <t>Staff Development and Training</t>
  </si>
  <si>
    <t>Training</t>
  </si>
  <si>
    <t>Costs for training as new staff are being onboarded</t>
  </si>
  <si>
    <t>Subtotal Startup Personnel Expenses</t>
  </si>
  <si>
    <t>Rent for office space during the ramp up phase prior to services beginning, generally only relevant for new programs without existing space</t>
  </si>
  <si>
    <t xml:space="preserve">Utilities prior to services beginning </t>
  </si>
  <si>
    <t xml:space="preserve">Insurance for new building or space prior to services beginning </t>
  </si>
  <si>
    <t>Communications, Cell Phones</t>
  </si>
  <si>
    <t>Purchase of cell phones for newly hired employees, ongoing service costs will be included in each annual budget</t>
  </si>
  <si>
    <t xml:space="preserve">Office Supplies, Misc. </t>
  </si>
  <si>
    <t>Paper, staplers, pens, other items necessary to prepare workspaces for new staff</t>
  </si>
  <si>
    <t xml:space="preserve">Vehicles (purchase) </t>
  </si>
  <si>
    <t>Purchase of vehicles for use by staff when working with clients</t>
  </si>
  <si>
    <t>Initial insurance payment for purchased vehicles</t>
  </si>
  <si>
    <t>Renovations to office space to ready it for start of services</t>
  </si>
  <si>
    <t>Furnishing/Equipment</t>
  </si>
  <si>
    <t>Desks</t>
  </si>
  <si>
    <t>Number of desks needed for newly hired employees</t>
  </si>
  <si>
    <t>Chairs</t>
  </si>
  <si>
    <t>Number of chairs needed for newly hired employees</t>
  </si>
  <si>
    <t>Scanner/Copier</t>
  </si>
  <si>
    <t>Copier purchase for service delivery team if needed. Scanner is relevant if converting any paper documents to digital for storage in electronic health record.</t>
  </si>
  <si>
    <t>Shredder or shredding service for confidential documents</t>
  </si>
  <si>
    <t>If providing health services or a Medicaid provider, this will be important for protecting client information.</t>
  </si>
  <si>
    <t>Filing cabinets, locked</t>
  </si>
  <si>
    <t>Filing cabinets designed to hold client medical or other healthcare records</t>
  </si>
  <si>
    <t>Filing cabinets, standard</t>
  </si>
  <si>
    <t>Licenses, Electronic Health Records</t>
  </si>
  <si>
    <t xml:space="preserve">The initial cost of electronic health record licenses and setup. Ongoing costs will be included in each annual budget. </t>
  </si>
  <si>
    <t xml:space="preserve">Licenses, HMIS </t>
  </si>
  <si>
    <t xml:space="preserve">The initial cost of HMIS licenses and setup. Ongoing costs will be included in each annual budget. </t>
  </si>
  <si>
    <t>Mobile wifi hotspots</t>
  </si>
  <si>
    <t>Purchase of mobile wifi hotspots for newly hired employees, ongoing service costs will be included in each annual budget</t>
  </si>
  <si>
    <t xml:space="preserve">Computers/Tablets </t>
  </si>
  <si>
    <t>Purchase of new computers/tables for newly hired employees, ongoing IT costs will be included in each annual budget</t>
  </si>
  <si>
    <t xml:space="preserve">Nursing equipment </t>
  </si>
  <si>
    <t>e.g., glucometers and glucose testing strips, portable scale, blood-pressure cuffs, stethoscopes, thermometers, injection supplies, portable Sharps containers for used needles, pillboxes, etc., likely relevant only if using the ACT model or ICM model with nursing staff.</t>
  </si>
  <si>
    <t>Miscellaneous</t>
  </si>
  <si>
    <t>Subtotal Startup Operating Expenses</t>
  </si>
  <si>
    <t xml:space="preserve">C. TOTAL DIRECT STARTUP EXPENSES  </t>
  </si>
  <si>
    <t xml:space="preserve">Estimating New Medicaid Provider Costs </t>
  </si>
  <si>
    <t>1. To show and use these inputs, select "Yes" in cell D8 on tab 3, "Basic Input &amp; Assumptions."</t>
  </si>
  <si>
    <t xml:space="preserve">2. Then SELECT the Staffing Model Tab you want these costs applied to HERE (E5): </t>
  </si>
  <si>
    <t>Apply to All</t>
  </si>
  <si>
    <t xml:space="preserve">3. Familiarize yourself with these budget considerations and select YES to any you will need to include in your estimates. </t>
  </si>
  <si>
    <t>4. Adjust any cost estimates in Column E to local estimates as needed. This is especially important for salaries.</t>
  </si>
  <si>
    <t>Expense considerations for new Medicaid providers</t>
  </si>
  <si>
    <t>Required?</t>
  </si>
  <si>
    <t>Frequency of Expense</t>
  </si>
  <si>
    <t>Units</t>
  </si>
  <si>
    <t>Select Yes to include line item in Start Up or Annual Budget</t>
  </si>
  <si>
    <t>Annual Total</t>
  </si>
  <si>
    <t>Quality Improvement (QI) Manager</t>
  </si>
  <si>
    <t>Required-CMS</t>
  </si>
  <si>
    <t>Ongoing - Annually</t>
  </si>
  <si>
    <t>1 per agency</t>
  </si>
  <si>
    <t>This may be a new position for many agencies. It is needed to ensure compliance with funder rules and regulations and to ensure billing is accurate and correct. This role can be combined with another role and/or be fulfilled by an existing position, as it may not require a full time LOE.</t>
  </si>
  <si>
    <t>Additional QI administrative support</t>
  </si>
  <si>
    <t>Not Required (optional)</t>
  </si>
  <si>
    <t>Only as needed</t>
  </si>
  <si>
    <t>Compliance Officer</t>
  </si>
  <si>
    <t>Required-State Medicaid</t>
  </si>
  <si>
    <t>In smaller agencies this role is often combined with another role. There are requirements for this role to have the ability to report directly to the ED and also directly to the Board of Directors regarding agency compliance. For details see U.S. Dept. of Health and Human Services Office of the Inspector General and your state's Medicaid agency requirements for Medicaid Compliance Officers.</t>
  </si>
  <si>
    <t>Medicaid Consultant</t>
  </si>
  <si>
    <t>Start Up</t>
  </si>
  <si>
    <t>Will help agencies be more effective and speed up the process in becoming a Medicaid biller; can help with administrative and Board policy changes, rules and requirements, quality improvement policies and practices, assisting with national accreditation, etc. Consultants can also help with compliance requirements to review policies, help with internal audit readiness, etc.  Cost range: $10,000-$30,000 (or 130-200/hour).</t>
  </si>
  <si>
    <t>Billing Support Subcontract</t>
  </si>
  <si>
    <t>Ongoing - Monthly</t>
  </si>
  <si>
    <t>Most billing agencies will cost 5-8% of claims submitted. In other words for each $100 submitted in billing claims, the subcontracted billing agency would receive $5.00 -$8.00 depnding on the agreement. A consultant can help you to estimate your Medicaid revenue potential in order to decide if a billing support subcontract makes more fiscal sense than purchasing a billing software and doing all billing in house.</t>
  </si>
  <si>
    <t>1 per staff member</t>
  </si>
  <si>
    <r>
      <t xml:space="preserve">If background checks are not yet included in your organizational budget, include them here or in the General Start Up tab. The # of Units per year in Column G for this row (19) are pulled from the total number of staff for the staffing model selected, as the staff number appears in Tab 2 Budget Summary Output, cells D5-G5. </t>
    </r>
    <r>
      <rPr>
        <b/>
        <sz val="11"/>
        <rFont val="Calibri"/>
        <family val="2"/>
        <scheme val="minor"/>
      </rPr>
      <t>If you included this item in your General Start Up tab, then column I will remain $0 even if you select Yes in column H</t>
    </r>
    <r>
      <rPr>
        <sz val="11"/>
        <rFont val="Calibri"/>
        <family val="2"/>
        <scheme val="minor"/>
      </rPr>
      <t xml:space="preserve"> </t>
    </r>
    <r>
      <rPr>
        <b/>
        <sz val="11"/>
        <rFont val="Calibri"/>
        <family val="2"/>
        <scheme val="minor"/>
      </rPr>
      <t>in order to avoid duplicating costs.</t>
    </r>
  </si>
  <si>
    <t>HIPAA &amp; Compliance Training</t>
  </si>
  <si>
    <t>1 per direct service staff member</t>
  </si>
  <si>
    <t>Some Medicaid State Agencies offer regular training on these topics at no or low cost to contracted providers. Additionally the Office of the Inspector General at the U.S. Department of Health and Human Services offers free online training on these general topics. Estimates of $50 per staff member are averaged from several online learning programs, including CSH Training Center and Relias LMS. NOTE: If "apply to all" is selected will take max. FTE.</t>
  </si>
  <si>
    <t>HIPAA FAQs link to U.S. Dept of Health and Human Services website</t>
  </si>
  <si>
    <t xml:space="preserve">Whistleblower and Medicaid Fraud Prevention </t>
  </si>
  <si>
    <t>Subtotal Medicaid Personnel Startup Expenses</t>
  </si>
  <si>
    <t>Subtotal Medicaid Personnel Ongoing Expenses</t>
  </si>
  <si>
    <t>Equipment</t>
  </si>
  <si>
    <t>Organizational/Professional Liability Insurance</t>
  </si>
  <si>
    <t>Agencies can choose to purchase professional liability insurance for the agency/group or require it at the individual practitioner level. Organizational liability insurance may be required by the State Medicaid Agency in order to enroll with your state as a Medicaid provider. It is reasonable to estimate $500-1000 per year for professional liability insurance at the organizational level. If you have 2 or fewer clinical staff seeking professional liability insurance it may be cheaper to insure per staff member as those costs can average between $20-$50 per month per clinical staff.</t>
  </si>
  <si>
    <t>If you included this item in your General Start Up tab, then column I will remain $0 even if you select Yes in column H in order to avoid duplicating costs.</t>
  </si>
  <si>
    <r>
      <t xml:space="preserve">If providing health services or a Medicaid provider, this will be important for protecting client information. </t>
    </r>
    <r>
      <rPr>
        <b/>
        <sz val="11"/>
        <rFont val="Calibri"/>
        <family val="2"/>
        <scheme val="minor"/>
      </rPr>
      <t>If you included this item in your General Start Up tab, then column I will remain $0 even if you select Yes in column H in order to avoid duplicating costs.</t>
    </r>
  </si>
  <si>
    <t xml:space="preserve">Shredder or shredding service </t>
  </si>
  <si>
    <r>
      <t xml:space="preserve">Filing cabinets designed to hold client medical or other healthcare records must be locked AND behind a locking door, if agency is using paper records. </t>
    </r>
    <r>
      <rPr>
        <b/>
        <sz val="11"/>
        <rFont val="Calibri"/>
        <family val="2"/>
        <scheme val="minor"/>
      </rPr>
      <t>If you included this item in your General Start Up tab, then column I will remain $0 even if you select Yes in column H in order to avoid duplicating costs.</t>
    </r>
  </si>
  <si>
    <t>1 per direct service staff member and relevant operational team members</t>
  </si>
  <si>
    <r>
      <t>HIPAA compliance is required by CMS and State Medicaid Agencies. The manner in which an organization complies with keeping protected health information safe can vary. Not all states require electronic record keeping. Not all states allow digital signatures from clients or from providers.</t>
    </r>
    <r>
      <rPr>
        <b/>
        <sz val="11"/>
        <rFont val="Calibri"/>
        <family val="2"/>
        <scheme val="minor"/>
      </rPr>
      <t xml:space="preserve"> If you included this item in your General Start Up tab, then column I will remain $0 even if you select Yes in column H in order to avoid duplicating costs.</t>
    </r>
  </si>
  <si>
    <t>New Software for Billing-monthly</t>
  </si>
  <si>
    <t>Initial costs may be included as part of the electronic health record as a separate module. Ongoing costs estimate range is $600-$1,000 per month for licensing fees. For small agencies it will likely be cheaper to subcontract billing. For this option see Row 17 under Contract Personnel: Billing Support Subcontract.</t>
  </si>
  <si>
    <t>New Software for Billing-initial purchase</t>
  </si>
  <si>
    <t>Initial costs may be included as part of the electronic health record as a separate module. Purchase pricing for new billing software varies with estimates from current supportive housing Medicaid providers ranging from $100,000- $300,000 for start up initial purchase, with monthly user license fees varying depending on initial purchase price and number of staff using the software.</t>
  </si>
  <si>
    <t>1 per staff member working in direct service in the community</t>
  </si>
  <si>
    <r>
      <t xml:space="preserve">For data security, it is advised that staff do not use public wifi and instead are equipped with secure mobile wifi hotspots when working away from the office. </t>
    </r>
    <r>
      <rPr>
        <b/>
        <sz val="11"/>
        <rFont val="Calibri"/>
        <family val="2"/>
        <scheme val="minor"/>
      </rPr>
      <t>If you included this item in your General Start Up tab, then column I will remain $0 even if you select Yes in column H in order to avoid duplicating costs.</t>
    </r>
  </si>
  <si>
    <t>Phone &amp; Tablets HIPAA security screen protectors</t>
  </si>
  <si>
    <t>Not required but recommended for staff working in the community. At a minimum unique passwords and automatic screen lock security should be required on all work electronics.</t>
  </si>
  <si>
    <t xml:space="preserve">Email and data encryption </t>
  </si>
  <si>
    <t xml:space="preserve">1 per staff member  </t>
  </si>
  <si>
    <t>Though encryption is not required federally (see link in cell K41), many states require email encryption as a protection against sharing protected health information (PHI). Google and other free email providers do offer email encryption and other security features for non-profits with monthly user fees per user per month.</t>
  </si>
  <si>
    <t>Link to U.S. Dept of Health and Human Service Guidance on email encryption</t>
  </si>
  <si>
    <t>Link outlining G-Suite, google for non-porifts with security features.</t>
  </si>
  <si>
    <t>Miscellaneous Program Expenses</t>
  </si>
  <si>
    <t xml:space="preserve">Medicaid Provider Enrollment fee </t>
  </si>
  <si>
    <t xml:space="preserve"> Most U.S. States and Territories charge a provider enrollment application fee. Some have provisions to waive fees, others do not. Enrollment fees for 2020 averaged at $595 for the majority of states examined.</t>
  </si>
  <si>
    <t>National Accreditation or Certification</t>
  </si>
  <si>
    <t xml:space="preserve">This varies by state and by Certification or Accreditation type. Average costs range between $6,000-11,000. Some states require national accreditation in order to get certified as a Medicaid provider at the state level. </t>
  </si>
  <si>
    <t>Subtotal Medicaid Startup Operating Expenses</t>
  </si>
  <si>
    <t>Subtotal Medicaid Ongoing Operating Expenses</t>
  </si>
  <si>
    <t>E. TOTAL Medicaid STARTUP Program Costs</t>
  </si>
  <si>
    <t>F. TOTAL Medicaid ONGOING Program Costs</t>
  </si>
  <si>
    <t>Example Ramp Up to Medicaid Reimbursement from Grant Funding</t>
  </si>
  <si>
    <t>Total Program Budget</t>
  </si>
  <si>
    <t xml:space="preserve">Percent of Budget covered by Grant Funding </t>
  </si>
  <si>
    <t>Percent of Budget covered by Medicaid Reimbursement</t>
  </si>
  <si>
    <t>Anticipated Grant Funding</t>
  </si>
  <si>
    <t>Anticipated Medicaid Reimbursement</t>
  </si>
  <si>
    <t>Month 1</t>
  </si>
  <si>
    <t>Month 2</t>
  </si>
  <si>
    <t>Month 3</t>
  </si>
  <si>
    <t>Month 4</t>
  </si>
  <si>
    <t>Month 5</t>
  </si>
  <si>
    <t>Month 6</t>
  </si>
  <si>
    <t>Month 7</t>
  </si>
  <si>
    <t>Month 8</t>
  </si>
  <si>
    <t>Month 9</t>
  </si>
  <si>
    <t>Month 10</t>
  </si>
  <si>
    <t>Month 12</t>
  </si>
  <si>
    <t>Month 14</t>
  </si>
  <si>
    <t>Month 15</t>
  </si>
  <si>
    <t>Ongoing - Quarterly</t>
  </si>
  <si>
    <t>Per diem</t>
  </si>
  <si>
    <t>Per member per month</t>
  </si>
  <si>
    <t>Not applicable</t>
  </si>
  <si>
    <t>Apply to ACT Tab 4</t>
  </si>
  <si>
    <t>Apply to ICM Tab 5</t>
  </si>
  <si>
    <t>Apply to TSS Tab 6</t>
  </si>
  <si>
    <t>Apply to CTI Tab 7</t>
  </si>
  <si>
    <t>PWLE Focus Groups</t>
  </si>
  <si>
    <t>Administrative/indirect rates are generally between 10% and 15%.</t>
  </si>
  <si>
    <t>Employee fringe/benefits rate are usually between 30% and 40% of employees' salaries.</t>
  </si>
  <si>
    <t>Select your Medicaid Reimbursement Type &amp; Rate</t>
  </si>
  <si>
    <t>Medicaid Reimbursement*</t>
  </si>
  <si>
    <t>Grand Total</t>
  </si>
  <si>
    <t>Annual Program Budget (Year 1 minus one-time startup costs)</t>
  </si>
  <si>
    <t>**Your annual budget equals your program costs plus your annual Medicaid costs (it does not include startup costs or one-time Medicaid costs)</t>
  </si>
  <si>
    <t>CTI Multi-Year Budget</t>
  </si>
  <si>
    <t>This budget is not available because you have selected "No" to General Startup Costs in Tab 3. Basic Input &amp; Assumptions.</t>
  </si>
  <si>
    <t>This budget is not available because you selected "No" to New Medicaid Provider Costs in
Tab 3. Basic Input &amp; Assumptions</t>
  </si>
  <si>
    <t>ACT Multi-Year Budget</t>
  </si>
  <si>
    <t>ICM Multi-Year Budget</t>
  </si>
  <si>
    <t>TSS Multi-Year Budget</t>
  </si>
  <si>
    <t>Unit of Service (UOS) Assumptions for Billable Staff</t>
  </si>
  <si>
    <t xml:space="preserve">Annual Medicaid Administrative Expenses </t>
  </si>
  <si>
    <t>Billable staff will never have 100% productivity - 75% productivity is a healthy goal for single site; scattered site will vary</t>
  </si>
  <si>
    <t>3. Please complete the blue boxes in the budget template below:</t>
  </si>
  <si>
    <t>Annual Program Expenses</t>
  </si>
  <si>
    <t>TSS Annual Budget Template</t>
  </si>
  <si>
    <t>CTI Annual Budget Template</t>
  </si>
  <si>
    <t>ICM Annual Budget Template</t>
  </si>
  <si>
    <t>ACT Annual Budget Template</t>
  </si>
  <si>
    <t>Annual Budget WITHOUT Startup Expenses</t>
  </si>
  <si>
    <t>Startup Expenses (Medicaid &amp; General)</t>
  </si>
  <si>
    <t>Startup Expenses
(Medicaid &amp; General)</t>
  </si>
  <si>
    <t>Do you want to include general startup costs in your budget?</t>
  </si>
  <si>
    <t xml:space="preserve">Mental Health Professional </t>
  </si>
  <si>
    <t>% of Budget to be covered by Medicaid</t>
  </si>
  <si>
    <t>% of Budget covered by Medicaid</t>
  </si>
  <si>
    <t>**Your annual budget equals your program costs plus your annual Medicaid administrative costs (it does not include startup costs or one-time Medicaid costs)</t>
  </si>
  <si>
    <t>Scattered Site Caseload</t>
  </si>
  <si>
    <t>Single Site Caseload</t>
  </si>
  <si>
    <t>New Program Suggested Caseloads</t>
  </si>
  <si>
    <t>Existing Program Caseloads</t>
  </si>
  <si>
    <t># of Tenants in Scattered Site</t>
  </si>
  <si>
    <t># of Tenants in Single Site</t>
  </si>
  <si>
    <t>Housing Manager/Landlord Liaison</t>
  </si>
  <si>
    <t>Non-Billable Staff</t>
  </si>
  <si>
    <t># Tenants in Scattered Site</t>
  </si>
  <si>
    <t># Tenants in Single Site</t>
  </si>
  <si>
    <t>ACT Caseloads</t>
  </si>
  <si>
    <t>1. Please complete the blue boxes below:</t>
  </si>
  <si>
    <t>Is this a new ICM Program (i.e. new staff and/or new tenants)?</t>
  </si>
  <si>
    <t>Is this a new supportive housing program (i.e. new staff and/or new tenants)?</t>
  </si>
  <si>
    <t>Is this a new CTI program (i.e. new staff and/or new tenants)?</t>
  </si>
  <si>
    <t>Link to General Startup Costs Tab</t>
  </si>
  <si>
    <t>Link to Medicaid Administrative Costs Tab</t>
  </si>
  <si>
    <t>Do you want to include Medicaid administrative costs in your budget?</t>
  </si>
  <si>
    <t>3. Budget Assumptions</t>
  </si>
  <si>
    <t>4. Caseload Assumptions Used in Model</t>
  </si>
  <si>
    <t>5. Supervisor to supervisee ratio</t>
  </si>
  <si>
    <t>6. Program Assumptions</t>
  </si>
  <si>
    <t>2. Add-on Cost Assumptions</t>
  </si>
  <si>
    <t xml:space="preserve">The 2024 Federal Mileage reimbursement rate is $.67 per mile. </t>
  </si>
  <si>
    <t>Recommended 1:8*</t>
  </si>
  <si>
    <t xml:space="preserve">*The recommended ratio for supervisors is 1:8 for ICM, TSS and CTI. This does not apply to ACT Teams as ACT has a very specific staffing structure to meet program fidelity. For more on ACT, visit the references document that supports the Services Budget Tool. </t>
  </si>
  <si>
    <t>Medicaid billing for travel is not allowed.</t>
  </si>
  <si>
    <t>For Medicaid billing, it may be helpful to think about Medicaid billable activities as well as Medicaid billable staff.</t>
  </si>
  <si>
    <t>Suggested Caseloads</t>
  </si>
  <si>
    <t>Billable Staff</t>
  </si>
  <si>
    <r>
      <rPr>
        <b/>
        <sz val="12"/>
        <color theme="5"/>
        <rFont val="Calibri"/>
        <family val="2"/>
        <scheme val="minor"/>
      </rPr>
      <t>2b.</t>
    </r>
    <r>
      <rPr>
        <b/>
        <sz val="12"/>
        <color theme="1"/>
        <rFont val="Calibri"/>
        <family val="2"/>
        <scheme val="minor"/>
      </rPr>
      <t xml:space="preserve"> </t>
    </r>
    <r>
      <rPr>
        <b/>
        <sz val="12"/>
        <color theme="5"/>
        <rFont val="Calibri"/>
        <family val="2"/>
        <scheme val="minor"/>
      </rPr>
      <t>(OPTIONAL)</t>
    </r>
    <r>
      <rPr>
        <b/>
        <sz val="12"/>
        <color theme="1"/>
        <rFont val="Calibri"/>
        <family val="2"/>
        <scheme val="minor"/>
      </rPr>
      <t xml:space="preserve"> Only complete rows 37-49 if you are planning to be reimbursed by Medicaid. Otherwise, leave as is.</t>
    </r>
  </si>
  <si>
    <r>
      <rPr>
        <b/>
        <sz val="12"/>
        <color theme="5"/>
        <rFont val="Calibri"/>
        <family val="2"/>
        <scheme val="minor"/>
      </rPr>
      <t>2b.</t>
    </r>
    <r>
      <rPr>
        <b/>
        <sz val="12"/>
        <color theme="1"/>
        <rFont val="Calibri"/>
        <family val="2"/>
        <scheme val="minor"/>
      </rPr>
      <t xml:space="preserve"> </t>
    </r>
    <r>
      <rPr>
        <b/>
        <sz val="12"/>
        <color theme="5"/>
        <rFont val="Calibri"/>
        <family val="2"/>
        <scheme val="minor"/>
      </rPr>
      <t>(OPTIONAL)</t>
    </r>
    <r>
      <rPr>
        <b/>
        <sz val="12"/>
        <color theme="1"/>
        <rFont val="Calibri"/>
        <family val="2"/>
        <scheme val="minor"/>
      </rPr>
      <t xml:space="preserve"> Only complete rows 44-56 if you are planning to be reimbursed by Medicaid. Otherwise, leave as is.</t>
    </r>
  </si>
  <si>
    <r>
      <rPr>
        <b/>
        <sz val="12"/>
        <color theme="5"/>
        <rFont val="Calibri"/>
        <family val="2"/>
        <scheme val="minor"/>
      </rPr>
      <t>2b.</t>
    </r>
    <r>
      <rPr>
        <b/>
        <sz val="12"/>
        <color theme="1"/>
        <rFont val="Calibri"/>
        <family val="2"/>
        <scheme val="minor"/>
      </rPr>
      <t xml:space="preserve"> </t>
    </r>
    <r>
      <rPr>
        <b/>
        <sz val="12"/>
        <color theme="5"/>
        <rFont val="Calibri"/>
        <family val="2"/>
        <scheme val="minor"/>
      </rPr>
      <t>(OPTIONAL)</t>
    </r>
    <r>
      <rPr>
        <b/>
        <sz val="12"/>
        <color theme="1"/>
        <rFont val="Calibri"/>
        <family val="2"/>
        <scheme val="minor"/>
      </rPr>
      <t xml:space="preserve"> Only complete rows 33-45 if you are planning to be reimbursed by Medicaid. Otherwise, leave as is.</t>
    </r>
  </si>
  <si>
    <t>Recommended Caseload*</t>
  </si>
  <si>
    <t>*ACT fidelity recommends a team of 10 staff to support a caseload of 100 tenants (tenant to staff ratio is 100:10; caseload equivalent is 10:1)</t>
  </si>
  <si>
    <t>2a. Please complete the blue boxes below with local staffing information.</t>
  </si>
  <si>
    <t xml:space="preserve">2a. Please complete the blue boxes below with your staffing information. </t>
  </si>
  <si>
    <r>
      <t xml:space="preserve">2a. Please complete the blue boxes below with your staffing information. </t>
    </r>
    <r>
      <rPr>
        <b/>
        <sz val="12"/>
        <rFont val="Calibri"/>
        <family val="2"/>
        <scheme val="minor"/>
      </rPr>
      <t xml:space="preserve">Please note that the recommended number of ICM staff is calculated for you in the green box; you should aim for your total billable staff to add up to this number. </t>
    </r>
  </si>
  <si>
    <t xml:space="preserve">2a. Please complete the blue boxes below with your local staffing information. </t>
  </si>
  <si>
    <t xml:space="preserve">Tenancy Supports Service Coordinator </t>
  </si>
  <si>
    <r>
      <rPr>
        <b/>
        <sz val="12"/>
        <color theme="1"/>
        <rFont val="Calibri"/>
        <family val="2"/>
        <scheme val="minor"/>
      </rPr>
      <t>Peach boxes</t>
    </r>
    <r>
      <rPr>
        <sz val="12"/>
        <color theme="1"/>
        <rFont val="Calibri"/>
        <family val="2"/>
        <scheme val="minor"/>
      </rPr>
      <t xml:space="preserve"> indicate budget items that are automatically calculated but</t>
    </r>
    <r>
      <rPr>
        <b/>
        <sz val="12"/>
        <color theme="1"/>
        <rFont val="Calibri"/>
        <family val="2"/>
        <scheme val="minor"/>
      </rPr>
      <t xml:space="preserve"> can be overridden. </t>
    </r>
  </si>
  <si>
    <t>This budget planning tool is intended to provide communities and organizations with a framework for understanding and planning for their total service costs in a supportive housing program. There are 5 drivers that will impact program budget planning. 
1. Target populations to be served in supportive housing 
2. Services Staffing Model (ACT, ICM, TSS, CTI)
3. Housing Model (single site or scattered site)
4. Startup Costs                                                                                                                                                                                                                                                                                                                                                                                                                                                                                        5. Revenue Structure &amp; Reimbursement Restrictions</t>
  </si>
  <si>
    <t>© CSH 2024</t>
  </si>
  <si>
    <t>About the CSH Services Budget Tool 3.2 (SBT 3.2)</t>
  </si>
  <si>
    <t xml:space="preserve">Client-Related Travel </t>
  </si>
  <si>
    <r>
      <t xml:space="preserve">Transportation costs are a necessary budget component for scattered site. For agencies unsure of miles traveled per month, CSH recommends budgeting 20 miles per day per staff for scattered site. </t>
    </r>
    <r>
      <rPr>
        <b/>
        <sz val="12"/>
        <color theme="1"/>
        <rFont val="Calibri"/>
        <family val="2"/>
        <scheme val="minor"/>
      </rPr>
      <t>This is not billable time.</t>
    </r>
  </si>
  <si>
    <t>1. Include the following Service Staffing Models in the Budget Summary Tabs?</t>
  </si>
  <si>
    <t>Travel to Scattered Sites</t>
  </si>
  <si>
    <r>
      <t xml:space="preserve">Client-related travel varies greatly depending on the breadth of service coordination and transportation offered. CSH recommends up to 5 miles per day for client-related travel for service coordination (social security appointments, outreach, medical and social service appointments, support accessing other services). </t>
    </r>
    <r>
      <rPr>
        <b/>
        <sz val="12"/>
        <color theme="1"/>
        <rFont val="Calibri"/>
        <family val="2"/>
        <scheme val="minor"/>
      </rPr>
      <t>This is potentially billable time.</t>
    </r>
  </si>
  <si>
    <t>Developed in the early 1970s, Assertive Community Treatment (ACT) is an intensive, team-based, multidisciplinary approach for community mental health services that can include housing-related supports. ACT teams serve individuals with serious and persistent forms of mental illness, including schizophrenia spectrum disorders, bipolar and major depression, personality disorders, and anxiety disorders like PTSD. As a multidisciplinary approach, ACT teams share a caseload of 100 clients across the team. Intended to be a "one stop shop" for outpatient mental health services, ACT teams require high levels of coordination and provide a comprehensive array of services that focus on recovery, rehabilitation, and improved functioning in activities of daily living, including housing stability. ACT teams include specialists with backgrounds in mental health and psychiatry, nursing, employment, housing, substance use treatment, legal services and benefits access, and care coordination with specialty providers. ACT is an evidence-based practice with strong evidence of reducing hospitalizations and increasing housing stability when programs align with fidelity standards. Both Dartmouth University and the U.S. Department of Substance Abuse and Mental Health Services Administration have created fidelity tools for ACT providers to use to ensure quality in practice and outcomes.</t>
  </si>
  <si>
    <t>Recommended # of ICM Team Members</t>
  </si>
  <si>
    <t>Billable Staff (ICM Team Members)</t>
  </si>
  <si>
    <t xml:space="preserve">The core services in supportive housing, Tenancy Support Services (TSS) help people access and remain in housing. Sometimes referred to as housing case management, TSS are typically delivered at staff-to-client ratios of 1:10 for scattered site and 1:15 for clustered and single site supportive housing. Caseload sizes can be adjusted based on acuity levels and housing stabilization needs. Because of the numerous, conflicting definitions of case management across service sectors, the term “tenancy support services” has begun to replace “housing case management,” particularly in states where housing-related services are being funded by State Medicaid Plans. 
Tenancy Support Specialists – also known as Housing Case Managers and Community Support Specialists – provide pre-tenancy and tenancy-sustaining services to clients living in supportive housing and/or transitioning from homelessness or institutionalization. Pre-tenancy supports include outreach and in-reach services, assessment of housing preferences and barriers, and assistance with housing search and move-in arrangements. Tenancy sustaining services include ensuring rent is paid and recertifications are completed, safeguarding that lease obligations are met and tenancy rights are upheld, and helping tenants to make connections in their communities.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</si>
</sst>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6" formatCode="&quot;$&quot;#,##0_);[Red]\(&quot;$&quot;#,##0\)"/>
    <numFmt numFmtId="8" formatCode="&quot;$&quot;#,##0.00_);[Red]\(&quot;$&quot;#,##0.00\)"/>
    <numFmt numFmtId="44" formatCode="_(&quot;$&quot;* #,##0.00_);_(&quot;$&quot;* \(#,##0.00\);_(&quot;$&quot;* &quot;-&quot;??_);_(@_)"/>
    <numFmt numFmtId="164" formatCode="&quot;$&quot;#,##0"/>
    <numFmt numFmtId="165" formatCode="0.0"/>
    <numFmt numFmtId="166" formatCode="&quot;Based on the # of case managers, we recommend &quot;#&quot; FTE&quot;"/>
    <numFmt numFmtId="167" formatCode="#,##0.0"/>
    <numFmt numFmtId="168" formatCode="&quot;CSH recommends&quot;\ #\ &quot;staff&quot;"/>
    <numFmt numFmtId="169" formatCode="&quot;Based on the # of tenants, we recommend &quot;#&quot; FTE&quot;"/>
    <numFmt numFmtId="170" formatCode="&quot;$&quot;#,##0.000_);[Red]\(&quot;$&quot;#,##0.000\)"/>
    <numFmt numFmtId="171" formatCode="0.0%"/>
    <numFmt numFmtId="172" formatCode="&quot;Based on the recommended # of case managers, we recommend &quot;#&quot; FTE&quot;"/>
    <numFmt numFmtId="173" formatCode="&quot;Based on the # of clients, we recommend &quot;#&quot; Mental Health Professionals&quot;"/>
    <numFmt numFmtId="174" formatCode="&quot;Based on the # of clients, we recommend &quot;#&quot; Psychiatric Nurses&quot;"/>
    <numFmt numFmtId="175" formatCode="&quot;Based on the # of clients, we recommend &quot;#&quot; Employment Specialists&quot;"/>
    <numFmt numFmtId="176" formatCode="&quot;Based on the # of tenants, we recommend &quot;#&quot; CTI Workers&quot;"/>
    <numFmt numFmtId="177" formatCode="&quot;Based on the # of tenants, we recommend &quot;#&quot; Supervisors&quot;"/>
    <numFmt numFmtId="178" formatCode="&quot;Based on the # of clients, we recommend &quot;#&quot; Team Leaders&quot;"/>
    <numFmt numFmtId="179" formatCode="&quot;*Medicaid is covering &quot;#%&quot; of your annual budget**&quot;"/>
    <numFmt numFmtId="180" formatCode="&quot;Based on the # of clients, we recommend &quot;#&quot; Psychiatrists&quot;"/>
    <numFmt numFmtId="181" formatCode="&quot;Based on the # of clients, we recommend &quot;#&quot; Peer Specialists&quot;"/>
    <numFmt numFmtId="182" formatCode="&quot;Based on the # of clients, we recommened &quot;#&quot; Substance Abuse Specialists&quot;"/>
    <numFmt numFmtId="183" formatCode="&quot;Based on the # of clients, we recommend &quot;#&quot; Housing Specialists&quot;"/>
    <numFmt numFmtId="184" formatCode="&quot;$&quot;#,##0.00"/>
    <numFmt numFmtId="185" formatCode="&quot;Based on your productivity, we reccommend &quot;#&quot; clients seen per FTE per day&quot;"/>
    <numFmt numFmtId="186" formatCode="#,##0.0_);[Red]\(#,##0.0\)"/>
    <numFmt numFmtId="187" formatCode="&quot;Based on the overall cost in cell D89, a rate of $&quot;#&quot; will cover this percent of your budget&quot;"/>
    <numFmt numFmtId="188" formatCode="&quot;Based on your productivity, we recommend &quot;#&quot; clients seen per FTE per day&quot;"/>
    <numFmt numFmtId="189" formatCode="&quot;Based on the # of clients, we recommend &quot;#&quot; ICM Staff&quot;"/>
    <numFmt numFmtId="190" formatCode="&quot;Based on the overall cost in cell F87, a reimbursement rate of $&quot;#&quot; will cover this percent of your budget&quot;"/>
    <numFmt numFmtId="191" formatCode="&quot;Based on the overall cost in cell F92, a reimbursement rate of $&quot;#&quot; will cover this percent of your budget&quot;"/>
    <numFmt numFmtId="192" formatCode="&quot;Based on the overall cost in cell F99, a reimbursement rate of $&quot;#&quot; will cover this percent of your budget&quot;"/>
  </numFmts>
  <fonts count="64">
    <font>
      <sz val="11"/>
      <color theme="1"/>
      <name val="Calibri"/>
      <family val="2"/>
      <scheme val="minor"/>
    </font>
    <font>
      <sz val="11"/>
      <color theme="1"/>
      <name val="Calibri"/>
      <family val="2"/>
      <scheme val="minor"/>
    </font>
    <font>
      <sz val="8"/>
      <name val="Arial MT"/>
    </font>
    <font>
      <u/>
      <sz val="11"/>
      <color theme="10"/>
      <name val="Calibri"/>
      <family val="2"/>
      <scheme val="minor"/>
    </font>
    <font>
      <b/>
      <sz val="14"/>
      <color theme="0"/>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rgb="FFFF0000"/>
      <name val="Calibri"/>
      <family val="2"/>
      <scheme val="minor"/>
    </font>
    <font>
      <i/>
      <sz val="12"/>
      <color theme="1"/>
      <name val="Calibri"/>
      <family val="2"/>
      <scheme val="minor"/>
    </font>
    <font>
      <i/>
      <sz val="12"/>
      <color theme="0"/>
      <name val="Calibri"/>
      <family val="2"/>
      <scheme val="minor"/>
    </font>
    <font>
      <sz val="12"/>
      <color theme="0"/>
      <name val="Calibri"/>
      <family val="2"/>
      <scheme val="minor"/>
    </font>
    <font>
      <sz val="12"/>
      <name val="Calibri"/>
      <family val="2"/>
      <scheme val="minor"/>
    </font>
    <font>
      <b/>
      <sz val="12"/>
      <name val="Calibri"/>
      <family val="2"/>
      <scheme val="minor"/>
    </font>
    <font>
      <i/>
      <sz val="12"/>
      <color rgb="FFFF0000"/>
      <name val="Calibri"/>
      <family val="2"/>
      <scheme val="minor"/>
    </font>
    <font>
      <i/>
      <sz val="12"/>
      <name val="Calibri"/>
      <family val="2"/>
      <scheme val="minor"/>
    </font>
    <font>
      <u/>
      <sz val="12"/>
      <color theme="10"/>
      <name val="Calibri"/>
      <family val="2"/>
      <scheme val="minor"/>
    </font>
    <font>
      <sz val="9"/>
      <color indexed="81"/>
      <name val="Tahoma"/>
      <family val="2"/>
    </font>
    <font>
      <sz val="14"/>
      <color theme="1"/>
      <name val="Calibri"/>
      <family val="2"/>
      <scheme val="minor"/>
    </font>
    <font>
      <b/>
      <sz val="14"/>
      <color theme="1"/>
      <name val="Calibri"/>
      <family val="2"/>
      <scheme val="minor"/>
    </font>
    <font>
      <sz val="14"/>
      <name val="Calibri"/>
      <family val="2"/>
      <scheme val="minor"/>
    </font>
    <font>
      <i/>
      <sz val="14"/>
      <color theme="1"/>
      <name val="Calibri"/>
      <family val="2"/>
      <scheme val="minor"/>
    </font>
    <font>
      <b/>
      <u/>
      <sz val="14"/>
      <color theme="1"/>
      <name val="Calibri"/>
      <family val="2"/>
      <scheme val="minor"/>
    </font>
    <font>
      <sz val="18"/>
      <color theme="1"/>
      <name val="Calibri"/>
      <family val="2"/>
      <scheme val="minor"/>
    </font>
    <font>
      <i/>
      <sz val="11"/>
      <color theme="1"/>
      <name val="Calibri"/>
      <family val="2"/>
      <scheme val="minor"/>
    </font>
    <font>
      <b/>
      <sz val="12"/>
      <color theme="5"/>
      <name val="Calibri"/>
      <family val="2"/>
      <scheme val="minor"/>
    </font>
    <font>
      <sz val="10"/>
      <color rgb="FF000000"/>
      <name val="Times New Roman"/>
      <family val="1"/>
    </font>
    <font>
      <sz val="12"/>
      <color rgb="FF000000"/>
      <name val="Calibri"/>
      <family val="2"/>
      <scheme val="minor"/>
    </font>
    <font>
      <b/>
      <sz val="11"/>
      <color rgb="FF333333"/>
      <name val="Calibri"/>
      <family val="2"/>
      <scheme val="minor"/>
    </font>
    <font>
      <sz val="10"/>
      <color theme="1"/>
      <name val="Calibri"/>
      <family val="2"/>
      <scheme val="minor"/>
    </font>
    <font>
      <b/>
      <sz val="12"/>
      <color theme="0" tint="-0.14999847407452621"/>
      <name val="Calibri"/>
      <family val="2"/>
      <scheme val="minor"/>
    </font>
    <font>
      <b/>
      <sz val="11"/>
      <color theme="1"/>
      <name val="Calibri"/>
      <family val="2"/>
      <scheme val="minor"/>
    </font>
    <font>
      <b/>
      <u/>
      <sz val="12"/>
      <color theme="1"/>
      <name val="Calibri"/>
      <family val="2"/>
      <scheme val="minor"/>
    </font>
    <font>
      <b/>
      <sz val="10"/>
      <color rgb="FF000000"/>
      <name val="Times New Roman"/>
      <family val="1"/>
    </font>
    <font>
      <b/>
      <sz val="12"/>
      <color rgb="FF000000"/>
      <name val="Calibri"/>
      <family val="2"/>
      <scheme val="minor"/>
    </font>
    <font>
      <sz val="12"/>
      <color theme="1"/>
      <name val="Arial Black"/>
      <family val="2"/>
    </font>
    <font>
      <b/>
      <u/>
      <sz val="14"/>
      <color rgb="FFFF00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12"/>
      <color rgb="FFFF0000"/>
      <name val="Calibri"/>
      <family val="2"/>
      <scheme val="minor"/>
    </font>
    <font>
      <b/>
      <u/>
      <sz val="11"/>
      <color theme="10"/>
      <name val="Calibri"/>
      <family val="2"/>
      <scheme val="minor"/>
    </font>
    <font>
      <i/>
      <sz val="11"/>
      <color rgb="FFFF0000"/>
      <name val="Calibri"/>
      <family val="2"/>
      <scheme val="minor"/>
    </font>
    <font>
      <sz val="12"/>
      <color rgb="FF0070C0"/>
      <name val="Arial Black"/>
      <family val="2"/>
    </font>
    <font>
      <u/>
      <sz val="11"/>
      <color rgb="FF0070C0"/>
      <name val="Arial Black"/>
      <family val="2"/>
    </font>
    <font>
      <sz val="11"/>
      <name val="Calibri"/>
      <family val="2"/>
      <scheme val="minor"/>
    </font>
    <font>
      <sz val="11"/>
      <color rgb="FF000000"/>
      <name val="Times New Roman"/>
      <family val="1"/>
    </font>
    <font>
      <b/>
      <sz val="11"/>
      <name val="Calibri"/>
      <family val="2"/>
      <scheme val="minor"/>
    </font>
    <font>
      <b/>
      <i/>
      <sz val="11"/>
      <name val="Calibri"/>
      <family val="2"/>
      <scheme val="minor"/>
    </font>
    <font>
      <b/>
      <sz val="11"/>
      <color rgb="FF000000"/>
      <name val="Times New Roman"/>
      <family val="1"/>
    </font>
    <font>
      <sz val="11"/>
      <name val="Times New Roman"/>
      <family val="1"/>
    </font>
    <font>
      <i/>
      <sz val="11"/>
      <color theme="0"/>
      <name val="Calibri"/>
      <family val="2"/>
      <scheme val="minor"/>
    </font>
    <font>
      <b/>
      <i/>
      <sz val="12"/>
      <color theme="1"/>
      <name val="Calibri"/>
      <family val="2"/>
      <scheme val="minor"/>
    </font>
    <font>
      <b/>
      <i/>
      <sz val="11"/>
      <color theme="1"/>
      <name val="Calibri"/>
      <family val="2"/>
      <scheme val="minor"/>
    </font>
    <font>
      <sz val="14"/>
      <color theme="0"/>
      <name val="Calibri"/>
      <family val="2"/>
      <scheme val="minor"/>
    </font>
    <font>
      <b/>
      <sz val="11"/>
      <color rgb="FFFF0000"/>
      <name val="Calibri"/>
      <family val="2"/>
      <scheme val="minor"/>
    </font>
    <font>
      <b/>
      <sz val="16"/>
      <color theme="1"/>
      <name val="Calibri"/>
      <family val="2"/>
      <scheme val="minor"/>
    </font>
    <font>
      <b/>
      <sz val="16"/>
      <name val="Calibri"/>
      <family val="2"/>
      <scheme val="minor"/>
    </font>
    <font>
      <b/>
      <sz val="18"/>
      <color theme="1"/>
      <name val="Calibri"/>
      <family val="2"/>
      <scheme val="minor"/>
    </font>
    <font>
      <b/>
      <u/>
      <sz val="16"/>
      <color rgb="FFFF0000"/>
      <name val="Calibri"/>
      <family val="2"/>
      <scheme val="minor"/>
    </font>
    <font>
      <b/>
      <i/>
      <sz val="11"/>
      <color theme="0"/>
      <name val="Calibri"/>
      <family val="2"/>
      <scheme val="minor"/>
    </font>
    <font>
      <sz val="11"/>
      <color theme="0"/>
      <name val="Times New Roman"/>
      <family val="1"/>
    </font>
    <font>
      <b/>
      <sz val="18"/>
      <name val="Calibri"/>
      <family val="2"/>
      <scheme val="minor"/>
    </font>
    <font>
      <i/>
      <sz val="11"/>
      <name val="Calibri"/>
      <family val="2"/>
      <scheme val="minor"/>
    </font>
  </fonts>
  <fills count="20">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EAEAEA"/>
      </patternFill>
    </fill>
    <fill>
      <patternFill patternType="solid">
        <fgColor theme="9" tint="0.79998168889431442"/>
        <bgColor indexed="64"/>
      </patternFill>
    </fill>
    <fill>
      <patternFill patternType="solid">
        <fgColor theme="9"/>
        <bgColor indexed="64"/>
      </patternFill>
    </fill>
    <fill>
      <patternFill patternType="solid">
        <fgColor theme="7"/>
        <bgColor indexed="64"/>
      </patternFill>
    </fill>
    <fill>
      <patternFill patternType="solid">
        <fgColor theme="4" tint="0.59999389629810485"/>
        <bgColor indexed="65"/>
      </patternFill>
    </fill>
    <fill>
      <patternFill patternType="solid">
        <fgColor theme="4"/>
        <bgColor indexed="64"/>
      </patternFill>
    </fill>
    <fill>
      <patternFill patternType="solid">
        <fgColor rgb="FFE2F0D9"/>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2"/>
        <bgColor indexed="64"/>
      </patternFill>
    </fill>
    <fill>
      <patternFill patternType="solid">
        <fgColor theme="7" tint="0.7999816888943144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medium">
        <color indexed="64"/>
      </top>
      <bottom style="medium">
        <color indexed="64"/>
      </bottom>
      <diagonal/>
    </border>
    <border>
      <left/>
      <right/>
      <top/>
      <bottom style="thin">
        <color indexed="64"/>
      </bottom>
      <diagonal/>
    </border>
    <border>
      <left style="mediumDashDot">
        <color theme="5"/>
      </left>
      <right/>
      <top style="mediumDashDot">
        <color theme="5"/>
      </top>
      <bottom/>
      <diagonal/>
    </border>
    <border>
      <left/>
      <right/>
      <top style="mediumDashDot">
        <color theme="5"/>
      </top>
      <bottom/>
      <diagonal/>
    </border>
    <border>
      <left/>
      <right style="mediumDashDot">
        <color theme="5"/>
      </right>
      <top style="mediumDashDot">
        <color theme="5"/>
      </top>
      <bottom/>
      <diagonal/>
    </border>
    <border>
      <left/>
      <right style="mediumDashDot">
        <color theme="5"/>
      </right>
      <top/>
      <bottom/>
      <diagonal/>
    </border>
    <border>
      <left style="mediumDashDot">
        <color theme="5"/>
      </left>
      <right/>
      <top/>
      <bottom style="mediumDashDot">
        <color theme="5"/>
      </bottom>
      <diagonal/>
    </border>
    <border>
      <left/>
      <right/>
      <top/>
      <bottom style="mediumDashDot">
        <color theme="5"/>
      </bottom>
      <diagonal/>
    </border>
    <border>
      <left/>
      <right style="mediumDashDot">
        <color theme="5"/>
      </right>
      <top/>
      <bottom style="mediumDashDot">
        <color theme="5"/>
      </bottom>
      <diagonal/>
    </border>
    <border>
      <left style="mediumDashDot">
        <color theme="5"/>
      </left>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tted">
        <color auto="1"/>
      </top>
      <bottom style="dotted">
        <color auto="1"/>
      </bottom>
      <diagonal/>
    </border>
    <border>
      <left/>
      <right/>
      <top/>
      <bottom style="dotted">
        <color indexed="64"/>
      </bottom>
      <diagonal/>
    </border>
    <border>
      <left/>
      <right/>
      <top style="dotted">
        <color indexed="64"/>
      </top>
      <bottom/>
      <diagonal/>
    </border>
    <border>
      <left/>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medium">
        <color indexed="64"/>
      </right>
      <top style="dotted">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dotted">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uble">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tted">
        <color indexed="64"/>
      </top>
      <bottom/>
      <diagonal/>
    </border>
    <border>
      <left/>
      <right/>
      <top style="dotted">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dotted">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right style="mediumDashDotDot">
        <color theme="5"/>
      </right>
      <top/>
      <bottom/>
      <diagonal/>
    </border>
    <border>
      <left style="medium">
        <color rgb="FFFF0000"/>
      </left>
      <right style="medium">
        <color rgb="FFFF0000"/>
      </right>
      <top style="medium">
        <color rgb="FFFF0000"/>
      </top>
      <bottom style="medium">
        <color rgb="FFFF0000"/>
      </bottom>
      <diagonal/>
    </border>
    <border>
      <left style="thin">
        <color indexed="64"/>
      </left>
      <right/>
      <top style="thin">
        <color indexed="64"/>
      </top>
      <bottom style="medium">
        <color indexed="64"/>
      </bottom>
      <diagonal/>
    </border>
  </borders>
  <cellStyleXfs count="7">
    <xf numFmtId="0" fontId="0" fillId="0" borderId="0"/>
    <xf numFmtId="0" fontId="2" fillId="0" borderId="0"/>
    <xf numFmtId="9" fontId="1" fillId="0" borderId="0" applyFon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xf numFmtId="0" fontId="26" fillId="0" borderId="0"/>
    <xf numFmtId="0" fontId="1" fillId="12" borderId="0" applyNumberFormat="0" applyBorder="0" applyAlignment="0" applyProtection="0"/>
  </cellStyleXfs>
  <cellXfs count="824">
    <xf numFmtId="0" fontId="0" fillId="0" borderId="0" xfId="0"/>
    <xf numFmtId="0" fontId="5" fillId="2" borderId="0" xfId="0" applyFont="1" applyFill="1" applyAlignment="1" applyProtection="1">
      <alignment horizontal="left"/>
      <protection locked="0"/>
    </xf>
    <xf numFmtId="0" fontId="6" fillId="2" borderId="0" xfId="0" applyFont="1" applyFill="1" applyProtection="1">
      <protection locked="0"/>
    </xf>
    <xf numFmtId="0" fontId="5" fillId="2" borderId="0" xfId="0" applyFont="1" applyFill="1" applyProtection="1">
      <protection locked="0"/>
    </xf>
    <xf numFmtId="0" fontId="5" fillId="3" borderId="3" xfId="0" applyFont="1" applyFill="1" applyBorder="1" applyAlignment="1" applyProtection="1">
      <alignment vertical="center"/>
      <protection locked="0"/>
    </xf>
    <xf numFmtId="3" fontId="5" fillId="3" borderId="1" xfId="0" applyNumberFormat="1" applyFont="1" applyFill="1" applyBorder="1" applyAlignment="1" applyProtection="1">
      <alignment horizontal="center" vertical="center"/>
      <protection locked="0"/>
    </xf>
    <xf numFmtId="0" fontId="5" fillId="3" borderId="14" xfId="0" applyFont="1" applyFill="1" applyBorder="1" applyAlignment="1" applyProtection="1">
      <alignment vertical="center"/>
      <protection locked="0"/>
    </xf>
    <xf numFmtId="164" fontId="5" fillId="3" borderId="3" xfId="0" applyNumberFormat="1" applyFont="1" applyFill="1" applyBorder="1" applyAlignment="1" applyProtection="1">
      <alignment horizontal="center" vertical="center"/>
      <protection locked="0"/>
    </xf>
    <xf numFmtId="164" fontId="5" fillId="3" borderId="4" xfId="0" applyNumberFormat="1" applyFont="1" applyFill="1" applyBorder="1" applyAlignment="1" applyProtection="1">
      <alignment horizontal="center" vertical="center"/>
      <protection locked="0"/>
    </xf>
    <xf numFmtId="165" fontId="5" fillId="3" borderId="1" xfId="0" applyNumberFormat="1" applyFont="1" applyFill="1" applyBorder="1" applyAlignment="1" applyProtection="1">
      <alignment horizontal="center" vertical="center"/>
      <protection locked="0"/>
    </xf>
    <xf numFmtId="9" fontId="5" fillId="3" borderId="1" xfId="2" applyFont="1" applyFill="1" applyBorder="1" applyAlignment="1" applyProtection="1">
      <alignment horizontal="center" vertical="center"/>
      <protection locked="0"/>
    </xf>
    <xf numFmtId="6" fontId="12" fillId="3" borderId="20" xfId="1" applyNumberFormat="1" applyFont="1" applyFill="1" applyBorder="1" applyProtection="1">
      <protection locked="0"/>
    </xf>
    <xf numFmtId="0" fontId="12" fillId="0" borderId="19" xfId="1" applyFont="1" applyBorder="1" applyAlignment="1" applyProtection="1">
      <alignment horizontal="left" wrapText="1" indent="2"/>
      <protection locked="0"/>
    </xf>
    <xf numFmtId="38" fontId="12" fillId="3" borderId="20" xfId="1" applyNumberFormat="1" applyFont="1" applyFill="1" applyBorder="1" applyProtection="1">
      <protection locked="0"/>
    </xf>
    <xf numFmtId="0" fontId="5" fillId="3" borderId="6" xfId="0" applyFont="1" applyFill="1" applyBorder="1" applyAlignment="1" applyProtection="1">
      <alignment vertical="center" wrapText="1"/>
      <protection locked="0"/>
    </xf>
    <xf numFmtId="3" fontId="5" fillId="3" borderId="2" xfId="0" applyNumberFormat="1" applyFont="1" applyFill="1" applyBorder="1" applyAlignment="1" applyProtection="1">
      <alignment horizontal="center" vertical="center"/>
      <protection locked="0"/>
    </xf>
    <xf numFmtId="0" fontId="5" fillId="2" borderId="0" xfId="0" applyFont="1" applyFill="1" applyAlignment="1">
      <alignment horizontal="left"/>
    </xf>
    <xf numFmtId="0" fontId="6" fillId="2" borderId="0" xfId="0" applyFont="1" applyFill="1"/>
    <xf numFmtId="0" fontId="5" fillId="2" borderId="0" xfId="0" applyFont="1" applyFill="1"/>
    <xf numFmtId="0" fontId="5" fillId="0" borderId="0" xfId="0" applyFont="1"/>
    <xf numFmtId="1" fontId="5" fillId="0" borderId="0" xfId="0" applyNumberFormat="1" applyFont="1"/>
    <xf numFmtId="1" fontId="5" fillId="0" borderId="0" xfId="0" applyNumberFormat="1" applyFont="1" applyAlignment="1">
      <alignment horizontal="left" vertical="center"/>
    </xf>
    <xf numFmtId="0" fontId="5" fillId="0" borderId="28" xfId="0" applyFont="1" applyBorder="1"/>
    <xf numFmtId="0" fontId="19" fillId="0" borderId="0" xfId="0" applyFont="1" applyAlignment="1">
      <alignment horizontal="centerContinuous" vertical="center"/>
    </xf>
    <xf numFmtId="0" fontId="18" fillId="0" borderId="0" xfId="0" applyFont="1" applyAlignment="1">
      <alignment horizontal="centerContinuous"/>
    </xf>
    <xf numFmtId="1" fontId="18" fillId="0" borderId="0" xfId="0" applyNumberFormat="1" applyFont="1" applyAlignment="1">
      <alignment horizontal="centerContinuous" vertical="center"/>
    </xf>
    <xf numFmtId="1" fontId="18" fillId="0" borderId="0" xfId="0" applyNumberFormat="1" applyFont="1"/>
    <xf numFmtId="0" fontId="18" fillId="0" borderId="0" xfId="0" applyFont="1"/>
    <xf numFmtId="0" fontId="19" fillId="0" borderId="0" xfId="0" applyFont="1"/>
    <xf numFmtId="0" fontId="18" fillId="0" borderId="0" xfId="0" applyFont="1" applyAlignment="1">
      <alignment horizontal="center" wrapText="1"/>
    </xf>
    <xf numFmtId="1" fontId="18" fillId="0" borderId="0" xfId="0" applyNumberFormat="1" applyFont="1" applyAlignment="1">
      <alignment horizontal="center" wrapText="1"/>
    </xf>
    <xf numFmtId="0" fontId="18" fillId="0" borderId="1" xfId="0" applyFont="1" applyBorder="1" applyAlignment="1">
      <alignment vertical="center"/>
    </xf>
    <xf numFmtId="3" fontId="18" fillId="4" borderId="1" xfId="0" applyNumberFormat="1" applyFont="1" applyFill="1" applyBorder="1" applyAlignment="1">
      <alignment horizontal="center" vertical="center"/>
    </xf>
    <xf numFmtId="6" fontId="18" fillId="4" borderId="1" xfId="0" applyNumberFormat="1" applyFont="1" applyFill="1" applyBorder="1" applyAlignment="1">
      <alignment horizontal="center" vertical="center"/>
    </xf>
    <xf numFmtId="0" fontId="18" fillId="0" borderId="1" xfId="0" applyFont="1" applyBorder="1"/>
    <xf numFmtId="38" fontId="18" fillId="4" borderId="1" xfId="0" applyNumberFormat="1" applyFont="1" applyFill="1" applyBorder="1" applyAlignment="1">
      <alignment horizontal="center" vertical="center"/>
    </xf>
    <xf numFmtId="0" fontId="18" fillId="0" borderId="1" xfId="0" applyFont="1" applyBorder="1" applyAlignment="1">
      <alignment vertical="center" wrapText="1"/>
    </xf>
    <xf numFmtId="8" fontId="18" fillId="4" borderId="1" xfId="0" applyNumberFormat="1" applyFont="1" applyFill="1" applyBorder="1" applyAlignment="1">
      <alignment horizontal="center" vertical="center"/>
    </xf>
    <xf numFmtId="2" fontId="21" fillId="0" borderId="0" xfId="0" applyNumberFormat="1" applyFont="1" applyAlignment="1">
      <alignment horizontal="center"/>
    </xf>
    <xf numFmtId="1" fontId="21" fillId="0" borderId="0" xfId="0" applyNumberFormat="1" applyFont="1" applyAlignment="1">
      <alignment horizontal="left" vertical="center"/>
    </xf>
    <xf numFmtId="0" fontId="22" fillId="0" borderId="0" xfId="0" applyFont="1"/>
    <xf numFmtId="0" fontId="23" fillId="0" borderId="0" xfId="0" applyFont="1"/>
    <xf numFmtId="0" fontId="13" fillId="5" borderId="1" xfId="1" applyFont="1" applyFill="1" applyBorder="1" applyAlignment="1" applyProtection="1">
      <alignment horizontal="center"/>
      <protection locked="0"/>
    </xf>
    <xf numFmtId="6" fontId="12" fillId="3" borderId="38" xfId="1" applyNumberFormat="1" applyFont="1" applyFill="1" applyBorder="1" applyProtection="1">
      <protection locked="0"/>
    </xf>
    <xf numFmtId="0" fontId="0" fillId="6" borderId="0" xfId="0" applyFill="1"/>
    <xf numFmtId="0" fontId="29" fillId="6" borderId="0" xfId="0" applyFont="1" applyFill="1" applyAlignment="1">
      <alignment wrapText="1"/>
    </xf>
    <xf numFmtId="0" fontId="32" fillId="0" borderId="0" xfId="0" applyFont="1"/>
    <xf numFmtId="0" fontId="5" fillId="6" borderId="0" xfId="0" applyFont="1" applyFill="1"/>
    <xf numFmtId="0" fontId="31" fillId="12" borderId="41" xfId="6" applyFont="1" applyBorder="1" applyAlignment="1" applyProtection="1">
      <alignment horizontal="center" vertical="center" wrapText="1"/>
      <protection locked="0"/>
    </xf>
    <xf numFmtId="0" fontId="5" fillId="0" borderId="0" xfId="0" applyFont="1" applyAlignment="1">
      <alignment wrapText="1"/>
    </xf>
    <xf numFmtId="1" fontId="5" fillId="3" borderId="2" xfId="0" applyNumberFormat="1" applyFont="1" applyFill="1" applyBorder="1" applyAlignment="1" applyProtection="1">
      <alignment horizontal="center" vertical="center"/>
      <protection locked="0"/>
    </xf>
    <xf numFmtId="0" fontId="5" fillId="0" borderId="0" xfId="0" applyFont="1" applyAlignment="1">
      <alignment horizontal="left" wrapText="1"/>
    </xf>
    <xf numFmtId="0" fontId="13" fillId="5" borderId="12" xfId="1" applyFont="1" applyFill="1" applyBorder="1" applyAlignment="1" applyProtection="1">
      <alignment horizontal="center"/>
      <protection locked="0"/>
    </xf>
    <xf numFmtId="0" fontId="13" fillId="5" borderId="3" xfId="1" applyFont="1" applyFill="1" applyBorder="1" applyAlignment="1" applyProtection="1">
      <alignment horizontal="center"/>
      <protection locked="0"/>
    </xf>
    <xf numFmtId="0" fontId="5" fillId="0" borderId="0" xfId="0" applyFont="1" applyAlignment="1">
      <alignment vertical="top" wrapText="1"/>
    </xf>
    <xf numFmtId="0" fontId="5" fillId="0" borderId="0" xfId="0" applyFont="1" applyAlignment="1">
      <alignment vertical="center"/>
    </xf>
    <xf numFmtId="0" fontId="5" fillId="0" borderId="0" xfId="0" applyFont="1" applyAlignment="1">
      <alignment vertical="center" wrapText="1"/>
    </xf>
    <xf numFmtId="0" fontId="32" fillId="0" borderId="28" xfId="0" applyFont="1" applyBorder="1"/>
    <xf numFmtId="0" fontId="35" fillId="0" borderId="28" xfId="0" applyFont="1" applyBorder="1"/>
    <xf numFmtId="0" fontId="22" fillId="0" borderId="0" xfId="0" applyFont="1" applyAlignment="1">
      <alignment vertical="top"/>
    </xf>
    <xf numFmtId="0" fontId="5" fillId="0" borderId="0" xfId="0" applyFont="1" applyAlignment="1">
      <alignment vertical="top"/>
    </xf>
    <xf numFmtId="0" fontId="5" fillId="0" borderId="14" xfId="0" applyFont="1" applyBorder="1" applyAlignment="1">
      <alignment vertical="top" wrapText="1"/>
    </xf>
    <xf numFmtId="0" fontId="5" fillId="3" borderId="1" xfId="0" applyFont="1" applyFill="1" applyBorder="1" applyAlignment="1" applyProtection="1">
      <alignment horizontal="center" vertical="center"/>
      <protection locked="0"/>
    </xf>
    <xf numFmtId="0" fontId="7" fillId="0" borderId="0" xfId="0" applyFont="1"/>
    <xf numFmtId="1" fontId="5" fillId="0" borderId="0" xfId="0" applyNumberFormat="1" applyFont="1" applyAlignment="1">
      <alignment horizontal="center" vertical="center"/>
    </xf>
    <xf numFmtId="0" fontId="12" fillId="0" borderId="0" xfId="0" applyFont="1"/>
    <xf numFmtId="0" fontId="12" fillId="0" borderId="0" xfId="0" applyFont="1" applyAlignment="1">
      <alignment horizontal="center" wrapText="1"/>
    </xf>
    <xf numFmtId="0" fontId="12" fillId="0" borderId="0" xfId="0" applyFont="1" applyAlignment="1">
      <alignment horizontal="center"/>
    </xf>
    <xf numFmtId="0" fontId="9" fillId="0" borderId="0" xfId="0" applyFont="1" applyAlignment="1">
      <alignment horizontal="center" vertical="center"/>
    </xf>
    <xf numFmtId="0" fontId="12" fillId="3" borderId="2" xfId="0" applyFont="1" applyFill="1" applyBorder="1" applyAlignment="1" applyProtection="1">
      <alignment horizontal="center"/>
      <protection locked="0"/>
    </xf>
    <xf numFmtId="0" fontId="12" fillId="3" borderId="15" xfId="0" applyFont="1" applyFill="1" applyBorder="1" applyAlignment="1" applyProtection="1">
      <alignment horizontal="center"/>
      <protection locked="0"/>
    </xf>
    <xf numFmtId="0" fontId="12" fillId="3" borderId="16" xfId="0" applyFont="1" applyFill="1" applyBorder="1" applyAlignment="1" applyProtection="1">
      <alignment horizontal="center"/>
      <protection locked="0"/>
    </xf>
    <xf numFmtId="0" fontId="43" fillId="0" borderId="0" xfId="0" applyFont="1"/>
    <xf numFmtId="0" fontId="44" fillId="0" borderId="0" xfId="3" applyFont="1" applyBorder="1" applyAlignment="1">
      <alignment wrapText="1"/>
    </xf>
    <xf numFmtId="0" fontId="47" fillId="0" borderId="38" xfId="1" applyFont="1" applyBorder="1" applyAlignment="1" applyProtection="1">
      <alignment horizontal="center" vertical="center" wrapText="1"/>
      <protection locked="0"/>
    </xf>
    <xf numFmtId="0" fontId="47" fillId="0" borderId="37" xfId="1" applyFont="1" applyBorder="1" applyAlignment="1" applyProtection="1">
      <alignment horizontal="center" vertical="center" wrapText="1"/>
      <protection locked="0"/>
    </xf>
    <xf numFmtId="6" fontId="45" fillId="3" borderId="54" xfId="1" applyNumberFormat="1" applyFont="1" applyFill="1" applyBorder="1" applyAlignment="1" applyProtection="1">
      <alignment horizontal="center" vertical="center"/>
      <protection locked="0"/>
    </xf>
    <xf numFmtId="38" fontId="45" fillId="3" borderId="54" xfId="1" applyNumberFormat="1" applyFont="1" applyFill="1" applyBorder="1" applyAlignment="1" applyProtection="1">
      <alignment horizontal="center" vertical="center"/>
      <protection locked="0"/>
    </xf>
    <xf numFmtId="6" fontId="45" fillId="3" borderId="53" xfId="1" applyNumberFormat="1" applyFont="1" applyFill="1" applyBorder="1" applyAlignment="1" applyProtection="1">
      <alignment horizontal="center" vertical="center"/>
      <protection locked="0"/>
    </xf>
    <xf numFmtId="38" fontId="45" fillId="3" borderId="53" xfId="1" applyNumberFormat="1" applyFont="1" applyFill="1" applyBorder="1" applyAlignment="1" applyProtection="1">
      <alignment horizontal="center" vertical="center"/>
      <protection locked="0"/>
    </xf>
    <xf numFmtId="0" fontId="47" fillId="0" borderId="42" xfId="1" applyFont="1" applyBorder="1" applyAlignment="1" applyProtection="1">
      <alignment horizontal="center" vertical="center" wrapText="1"/>
      <protection locked="0"/>
    </xf>
    <xf numFmtId="6" fontId="45" fillId="3" borderId="55" xfId="1" applyNumberFormat="1" applyFont="1" applyFill="1" applyBorder="1" applyAlignment="1" applyProtection="1">
      <alignment horizontal="center" vertical="center"/>
      <protection locked="0"/>
    </xf>
    <xf numFmtId="38" fontId="45" fillId="3" borderId="55" xfId="1" applyNumberFormat="1" applyFont="1" applyFill="1" applyBorder="1" applyAlignment="1" applyProtection="1">
      <alignment horizontal="center" vertical="center"/>
      <protection locked="0"/>
    </xf>
    <xf numFmtId="0" fontId="47" fillId="16" borderId="42" xfId="1" applyFont="1" applyFill="1" applyBorder="1" applyAlignment="1" applyProtection="1">
      <alignment horizontal="center" vertical="center" wrapText="1"/>
      <protection locked="0"/>
    </xf>
    <xf numFmtId="0" fontId="47" fillId="0" borderId="15" xfId="1" applyFont="1" applyBorder="1" applyAlignment="1" applyProtection="1">
      <alignment horizontal="center" vertical="center" wrapText="1"/>
      <protection locked="0"/>
    </xf>
    <xf numFmtId="6" fontId="45" fillId="3" borderId="0" xfId="1" applyNumberFormat="1" applyFont="1" applyFill="1" applyAlignment="1" applyProtection="1">
      <alignment horizontal="center" vertical="center"/>
      <protection locked="0"/>
    </xf>
    <xf numFmtId="6" fontId="45" fillId="3" borderId="38" xfId="1" applyNumberFormat="1" applyFont="1" applyFill="1" applyBorder="1" applyAlignment="1" applyProtection="1">
      <alignment horizontal="center" vertical="center" wrapText="1"/>
      <protection locked="0"/>
    </xf>
    <xf numFmtId="6" fontId="45" fillId="3" borderId="42" xfId="1" applyNumberFormat="1" applyFont="1" applyFill="1" applyBorder="1" applyAlignment="1" applyProtection="1">
      <alignment horizontal="center" vertical="center" wrapText="1"/>
      <protection locked="0"/>
    </xf>
    <xf numFmtId="6" fontId="45" fillId="3" borderId="55" xfId="1" applyNumberFormat="1" applyFont="1" applyFill="1" applyBorder="1" applyAlignment="1" applyProtection="1">
      <alignment horizontal="center" vertical="center" wrapText="1"/>
      <protection locked="0"/>
    </xf>
    <xf numFmtId="0" fontId="45" fillId="3" borderId="53" xfId="1" applyFont="1" applyFill="1" applyBorder="1" applyAlignment="1" applyProtection="1">
      <alignment horizontal="center" vertical="center" wrapText="1"/>
      <protection locked="0"/>
    </xf>
    <xf numFmtId="0" fontId="45" fillId="3" borderId="55" xfId="1" applyFont="1" applyFill="1" applyBorder="1" applyAlignment="1" applyProtection="1">
      <alignment horizontal="center" vertical="center" wrapText="1"/>
      <protection locked="0"/>
    </xf>
    <xf numFmtId="6" fontId="12" fillId="15" borderId="43" xfId="1" applyNumberFormat="1" applyFont="1" applyFill="1" applyBorder="1" applyProtection="1">
      <protection locked="0"/>
    </xf>
    <xf numFmtId="167" fontId="5" fillId="3" borderId="3" xfId="0" applyNumberFormat="1" applyFont="1" applyFill="1" applyBorder="1" applyAlignment="1" applyProtection="1">
      <alignment horizontal="center" vertical="center"/>
      <protection locked="0"/>
    </xf>
    <xf numFmtId="0" fontId="13" fillId="18" borderId="63" xfId="1" applyFont="1" applyFill="1" applyBorder="1" applyAlignment="1">
      <alignment horizontal="left" wrapText="1"/>
    </xf>
    <xf numFmtId="0" fontId="12" fillId="0" borderId="65" xfId="1" applyFont="1" applyBorder="1" applyAlignment="1">
      <alignment horizontal="left" wrapText="1" indent="2"/>
    </xf>
    <xf numFmtId="6" fontId="12" fillId="9" borderId="66" xfId="1" applyNumberFormat="1" applyFont="1" applyFill="1" applyBorder="1"/>
    <xf numFmtId="0" fontId="12" fillId="0" borderId="67" xfId="1" applyFont="1" applyBorder="1" applyAlignment="1">
      <alignment horizontal="left" wrapText="1" indent="2"/>
    </xf>
    <xf numFmtId="6" fontId="12" fillId="9" borderId="68" xfId="1" applyNumberFormat="1" applyFont="1" applyFill="1" applyBorder="1"/>
    <xf numFmtId="0" fontId="13" fillId="18" borderId="69" xfId="1" applyFont="1" applyFill="1" applyBorder="1" applyAlignment="1">
      <alignment horizontal="right" wrapText="1"/>
    </xf>
    <xf numFmtId="6" fontId="12" fillId="9" borderId="70" xfId="1" applyNumberFormat="1" applyFont="1" applyFill="1" applyBorder="1"/>
    <xf numFmtId="0" fontId="12" fillId="17" borderId="65" xfId="1" applyFont="1" applyFill="1" applyBorder="1" applyAlignment="1">
      <alignment wrapText="1"/>
    </xf>
    <xf numFmtId="6" fontId="12" fillId="17" borderId="66" xfId="1" applyNumberFormat="1" applyFont="1" applyFill="1" applyBorder="1"/>
    <xf numFmtId="0" fontId="13" fillId="18" borderId="65" xfId="1" applyFont="1" applyFill="1" applyBorder="1" applyAlignment="1">
      <alignment horizontal="left" wrapText="1"/>
    </xf>
    <xf numFmtId="0" fontId="12" fillId="0" borderId="65" xfId="1" applyFont="1" applyBorder="1" applyAlignment="1">
      <alignment horizontal="left" indent="2"/>
    </xf>
    <xf numFmtId="0" fontId="15" fillId="0" borderId="65" xfId="1" applyFont="1" applyBorder="1" applyAlignment="1">
      <alignment horizontal="left" indent="4"/>
    </xf>
    <xf numFmtId="0" fontId="15" fillId="0" borderId="65" xfId="1" applyFont="1" applyBorder="1" applyAlignment="1">
      <alignment horizontal="left" wrapText="1" indent="4"/>
    </xf>
    <xf numFmtId="0" fontId="12" fillId="0" borderId="71" xfId="1" applyFont="1" applyBorder="1" applyAlignment="1">
      <alignment horizontal="left" wrapText="1" indent="2"/>
    </xf>
    <xf numFmtId="0" fontId="13" fillId="18" borderId="63" xfId="1" applyFont="1" applyFill="1" applyBorder="1" applyAlignment="1">
      <alignment horizontal="right" wrapText="1"/>
    </xf>
    <xf numFmtId="0" fontId="12" fillId="17" borderId="65" xfId="1" applyFont="1" applyFill="1" applyBorder="1" applyAlignment="1">
      <alignment horizontal="center" wrapText="1"/>
    </xf>
    <xf numFmtId="0" fontId="12" fillId="17" borderId="71" xfId="1" applyFont="1" applyFill="1" applyBorder="1" applyAlignment="1">
      <alignment horizontal="center" wrapText="1"/>
    </xf>
    <xf numFmtId="0" fontId="12" fillId="17" borderId="68" xfId="1" applyFont="1" applyFill="1" applyBorder="1"/>
    <xf numFmtId="0" fontId="13" fillId="18" borderId="51" xfId="1" applyFont="1" applyFill="1" applyBorder="1" applyAlignment="1">
      <alignment horizontal="left" wrapText="1"/>
    </xf>
    <xf numFmtId="6" fontId="12" fillId="9" borderId="72" xfId="1" applyNumberFormat="1" applyFont="1" applyFill="1" applyBorder="1"/>
    <xf numFmtId="6" fontId="12" fillId="9" borderId="80" xfId="1" applyNumberFormat="1" applyFont="1" applyFill="1" applyBorder="1"/>
    <xf numFmtId="6" fontId="12" fillId="17" borderId="77" xfId="1" applyNumberFormat="1" applyFont="1" applyFill="1" applyBorder="1"/>
    <xf numFmtId="6" fontId="12" fillId="9" borderId="75" xfId="1" applyNumberFormat="1" applyFont="1" applyFill="1" applyBorder="1"/>
    <xf numFmtId="6" fontId="12" fillId="9" borderId="77" xfId="1" applyNumberFormat="1" applyFont="1" applyFill="1" applyBorder="1"/>
    <xf numFmtId="0" fontId="12" fillId="17" borderId="82" xfId="1" applyFont="1" applyFill="1" applyBorder="1"/>
    <xf numFmtId="6" fontId="12" fillId="18" borderId="87" xfId="1" applyNumberFormat="1" applyFont="1" applyFill="1" applyBorder="1"/>
    <xf numFmtId="0" fontId="12" fillId="0" borderId="63" xfId="1" applyFont="1" applyBorder="1" applyAlignment="1">
      <alignment horizontal="left" wrapText="1" indent="2"/>
    </xf>
    <xf numFmtId="0" fontId="13" fillId="18" borderId="88" xfId="1" applyFont="1" applyFill="1" applyBorder="1" applyAlignment="1">
      <alignment horizontal="left" wrapText="1"/>
    </xf>
    <xf numFmtId="6" fontId="12" fillId="18" borderId="89" xfId="1" applyNumberFormat="1" applyFont="1" applyFill="1" applyBorder="1"/>
    <xf numFmtId="167" fontId="5" fillId="3" borderId="1" xfId="0" applyNumberFormat="1" applyFont="1" applyFill="1" applyBorder="1" applyAlignment="1" applyProtection="1">
      <alignment horizontal="center" vertical="center"/>
      <protection locked="0"/>
    </xf>
    <xf numFmtId="167" fontId="5" fillId="3" borderId="15" xfId="0" applyNumberFormat="1" applyFont="1" applyFill="1" applyBorder="1" applyAlignment="1" applyProtection="1">
      <alignment horizontal="center" vertical="center"/>
      <protection locked="0"/>
    </xf>
    <xf numFmtId="164" fontId="5" fillId="3" borderId="1" xfId="0" applyNumberFormat="1" applyFont="1" applyFill="1" applyBorder="1" applyAlignment="1" applyProtection="1">
      <alignment horizontal="center" vertical="center"/>
      <protection locked="0"/>
    </xf>
    <xf numFmtId="6" fontId="12" fillId="18" borderId="24" xfId="1" applyNumberFormat="1" applyFont="1" applyFill="1" applyBorder="1" applyProtection="1">
      <protection locked="0"/>
    </xf>
    <xf numFmtId="6" fontId="12" fillId="17" borderId="24" xfId="1" applyNumberFormat="1" applyFont="1" applyFill="1" applyBorder="1" applyProtection="1">
      <protection locked="0"/>
    </xf>
    <xf numFmtId="10" fontId="5" fillId="9" borderId="62" xfId="2" applyNumberFormat="1" applyFont="1" applyFill="1" applyBorder="1" applyAlignment="1" applyProtection="1">
      <alignment horizontal="left"/>
    </xf>
    <xf numFmtId="0" fontId="36" fillId="0" borderId="0" xfId="3" applyFont="1" applyFill="1" applyBorder="1" applyAlignment="1" applyProtection="1">
      <alignment vertical="center" wrapText="1"/>
    </xf>
    <xf numFmtId="0" fontId="12" fillId="0" borderId="7" xfId="0" applyFont="1" applyBorder="1"/>
    <xf numFmtId="0" fontId="12" fillId="0" borderId="4" xfId="0" applyFont="1" applyBorder="1"/>
    <xf numFmtId="0" fontId="12" fillId="0" borderId="8" xfId="0" applyFont="1" applyBorder="1"/>
    <xf numFmtId="0" fontId="12" fillId="0" borderId="28" xfId="0" applyFont="1" applyBorder="1"/>
    <xf numFmtId="0" fontId="12" fillId="0" borderId="9" xfId="0" applyFont="1" applyBorder="1"/>
    <xf numFmtId="0" fontId="0" fillId="0" borderId="0" xfId="0"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3" fontId="5" fillId="3" borderId="5" xfId="0" applyNumberFormat="1" applyFont="1" applyFill="1" applyBorder="1" applyAlignment="1" applyProtection="1">
      <alignment horizontal="center" vertical="center"/>
      <protection locked="0"/>
    </xf>
    <xf numFmtId="0" fontId="0" fillId="3" borderId="3" xfId="0" applyFill="1" applyBorder="1" applyAlignment="1" applyProtection="1">
      <alignment vertical="center"/>
      <protection locked="0"/>
    </xf>
    <xf numFmtId="3" fontId="0" fillId="3" borderId="1" xfId="0" applyNumberFormat="1" applyFill="1" applyBorder="1" applyAlignment="1" applyProtection="1">
      <alignment horizontal="center" vertical="center"/>
      <protection locked="0"/>
    </xf>
    <xf numFmtId="0" fontId="0" fillId="3" borderId="6" xfId="0" applyFill="1" applyBorder="1" applyAlignment="1" applyProtection="1">
      <alignment vertical="center"/>
      <protection locked="0"/>
    </xf>
    <xf numFmtId="3" fontId="0" fillId="3" borderId="2" xfId="0" applyNumberFormat="1" applyFill="1" applyBorder="1" applyAlignment="1" applyProtection="1">
      <alignment horizontal="center" vertical="center"/>
      <protection locked="0"/>
    </xf>
    <xf numFmtId="164" fontId="0" fillId="3" borderId="3" xfId="0" applyNumberFormat="1" applyFill="1" applyBorder="1" applyAlignment="1" applyProtection="1">
      <alignment horizontal="center" vertical="center"/>
      <protection locked="0"/>
    </xf>
    <xf numFmtId="0" fontId="12" fillId="0" borderId="0" xfId="0" applyFont="1" applyAlignment="1">
      <alignment horizontal="left"/>
    </xf>
    <xf numFmtId="0" fontId="12" fillId="0" borderId="5" xfId="0" applyFont="1" applyBorder="1"/>
    <xf numFmtId="0" fontId="12" fillId="0" borderId="14" xfId="0" applyFont="1" applyBorder="1"/>
    <xf numFmtId="0" fontId="12" fillId="0" borderId="6" xfId="0" applyFont="1" applyBorder="1"/>
    <xf numFmtId="0" fontId="3" fillId="0" borderId="0" xfId="3" applyFill="1" applyBorder="1" applyAlignment="1" applyProtection="1"/>
    <xf numFmtId="0" fontId="16" fillId="0" borderId="0" xfId="3" applyFont="1" applyProtection="1"/>
    <xf numFmtId="0" fontId="13" fillId="5" borderId="26" xfId="1" applyFont="1" applyFill="1" applyBorder="1" applyAlignment="1" applyProtection="1">
      <alignment horizontal="left" wrapText="1"/>
      <protection locked="0"/>
    </xf>
    <xf numFmtId="6" fontId="12" fillId="5" borderId="37" xfId="1" applyNumberFormat="1" applyFont="1" applyFill="1" applyBorder="1" applyProtection="1">
      <protection locked="0"/>
    </xf>
    <xf numFmtId="6" fontId="12" fillId="5" borderId="24" xfId="1" applyNumberFormat="1" applyFont="1" applyFill="1" applyBorder="1" applyProtection="1">
      <protection locked="0"/>
    </xf>
    <xf numFmtId="0" fontId="13" fillId="18" borderId="26" xfId="1" applyFont="1" applyFill="1" applyBorder="1" applyAlignment="1" applyProtection="1">
      <alignment horizontal="left" wrapText="1"/>
      <protection locked="0"/>
    </xf>
    <xf numFmtId="6" fontId="12" fillId="18" borderId="37" xfId="1" applyNumberFormat="1" applyFont="1" applyFill="1" applyBorder="1" applyProtection="1">
      <protection locked="0"/>
    </xf>
    <xf numFmtId="0" fontId="13" fillId="18" borderId="1" xfId="1" applyFont="1" applyFill="1" applyBorder="1" applyAlignment="1" applyProtection="1">
      <alignment horizontal="left" wrapText="1"/>
      <protection locked="0"/>
    </xf>
    <xf numFmtId="6" fontId="12" fillId="18" borderId="1" xfId="1" applyNumberFormat="1" applyFont="1" applyFill="1" applyBorder="1" applyProtection="1">
      <protection locked="0"/>
    </xf>
    <xf numFmtId="0" fontId="13" fillId="18" borderId="23" xfId="1" applyFont="1" applyFill="1" applyBorder="1" applyAlignment="1" applyProtection="1">
      <alignment horizontal="right" wrapText="1"/>
      <protection locked="0"/>
    </xf>
    <xf numFmtId="0" fontId="12" fillId="3" borderId="19" xfId="1" applyFont="1" applyFill="1" applyBorder="1" applyAlignment="1" applyProtection="1">
      <alignment horizontal="left" wrapText="1" indent="2"/>
      <protection locked="0"/>
    </xf>
    <xf numFmtId="6" fontId="12" fillId="18" borderId="39" xfId="1" applyNumberFormat="1" applyFont="1" applyFill="1" applyBorder="1" applyProtection="1">
      <protection locked="0"/>
    </xf>
    <xf numFmtId="6" fontId="12" fillId="18" borderId="40" xfId="1" applyNumberFormat="1" applyFont="1" applyFill="1" applyBorder="1" applyProtection="1">
      <protection locked="0"/>
    </xf>
    <xf numFmtId="0" fontId="13" fillId="17" borderId="26" xfId="1" applyFont="1" applyFill="1" applyBorder="1" applyAlignment="1" applyProtection="1">
      <alignment horizontal="left" wrapText="1"/>
      <protection locked="0"/>
    </xf>
    <xf numFmtId="6" fontId="12" fillId="17" borderId="37" xfId="1" applyNumberFormat="1" applyFont="1" applyFill="1" applyBorder="1" applyProtection="1">
      <protection locked="0"/>
    </xf>
    <xf numFmtId="0" fontId="5" fillId="0" borderId="0" xfId="0" applyFont="1" applyAlignment="1">
      <alignment horizontal="center"/>
    </xf>
    <xf numFmtId="0" fontId="5" fillId="0" borderId="0" xfId="0" applyFont="1" applyAlignment="1">
      <alignment horizontal="right" vertical="center"/>
    </xf>
    <xf numFmtId="0" fontId="12" fillId="0" borderId="2" xfId="0" applyFont="1" applyBorder="1" applyAlignment="1">
      <alignment horizontal="center" wrapText="1"/>
    </xf>
    <xf numFmtId="0" fontId="12" fillId="0" borderId="1" xfId="0" applyFont="1" applyBorder="1" applyAlignment="1">
      <alignment horizontal="center" wrapText="1"/>
    </xf>
    <xf numFmtId="165" fontId="5" fillId="3" borderId="2" xfId="0" applyNumberFormat="1" applyFont="1" applyFill="1" applyBorder="1" applyAlignment="1" applyProtection="1">
      <alignment horizontal="center" vertical="center"/>
      <protection locked="0"/>
    </xf>
    <xf numFmtId="167" fontId="0" fillId="3" borderId="1" xfId="0" applyNumberFormat="1" applyFill="1" applyBorder="1" applyAlignment="1" applyProtection="1">
      <alignment horizontal="center" vertical="center"/>
      <protection locked="0"/>
    </xf>
    <xf numFmtId="164" fontId="0" fillId="3" borderId="1" xfId="0" applyNumberFormat="1" applyFill="1" applyBorder="1" applyAlignment="1" applyProtection="1">
      <alignment horizontal="center" vertical="center"/>
      <protection locked="0"/>
    </xf>
    <xf numFmtId="0" fontId="11" fillId="0" borderId="0" xfId="0" applyFont="1"/>
    <xf numFmtId="0" fontId="54" fillId="0" borderId="0" xfId="0" applyFont="1"/>
    <xf numFmtId="38" fontId="45" fillId="3" borderId="15" xfId="1" applyNumberFormat="1" applyFont="1" applyFill="1" applyBorder="1" applyAlignment="1" applyProtection="1">
      <alignment horizontal="center" vertical="center"/>
      <protection locked="0"/>
    </xf>
    <xf numFmtId="0" fontId="18" fillId="0" borderId="1" xfId="0" applyFont="1" applyBorder="1" applyAlignment="1">
      <alignment vertical="top" wrapText="1"/>
    </xf>
    <xf numFmtId="0" fontId="19" fillId="0" borderId="0" xfId="0" applyFont="1" applyAlignment="1">
      <alignment wrapText="1"/>
    </xf>
    <xf numFmtId="6" fontId="12" fillId="15" borderId="37" xfId="1" applyNumberFormat="1" applyFont="1" applyFill="1" applyBorder="1" applyProtection="1">
      <protection locked="0"/>
    </xf>
    <xf numFmtId="0" fontId="0" fillId="0" borderId="0" xfId="2" applyNumberFormat="1" applyFont="1" applyBorder="1" applyProtection="1"/>
    <xf numFmtId="0" fontId="45" fillId="3" borderId="21" xfId="1" applyFont="1" applyFill="1" applyBorder="1" applyAlignment="1" applyProtection="1">
      <alignment horizontal="left" vertical="center" wrapText="1"/>
      <protection locked="0"/>
    </xf>
    <xf numFmtId="0" fontId="45" fillId="3" borderId="19" xfId="1" applyFont="1" applyFill="1" applyBorder="1" applyAlignment="1" applyProtection="1">
      <alignment horizontal="left" vertical="center" wrapText="1"/>
      <protection locked="0"/>
    </xf>
    <xf numFmtId="171" fontId="45" fillId="3" borderId="42" xfId="2" applyNumberFormat="1" applyFont="1" applyFill="1" applyBorder="1" applyAlignment="1" applyProtection="1">
      <alignment horizontal="center" vertical="center"/>
      <protection locked="0"/>
    </xf>
    <xf numFmtId="164" fontId="45" fillId="9" borderId="55" xfId="2" applyNumberFormat="1" applyFont="1" applyFill="1" applyBorder="1" applyAlignment="1" applyProtection="1">
      <alignment horizontal="center" vertical="center" wrapText="1"/>
    </xf>
    <xf numFmtId="0" fontId="13" fillId="18" borderId="92" xfId="1" applyFont="1" applyFill="1" applyBorder="1" applyAlignment="1">
      <alignment horizontal="left" wrapText="1"/>
    </xf>
    <xf numFmtId="6" fontId="13" fillId="18" borderId="93" xfId="1" applyNumberFormat="1" applyFont="1" applyFill="1" applyBorder="1" applyAlignment="1">
      <alignment horizontal="center"/>
    </xf>
    <xf numFmtId="6" fontId="12" fillId="17" borderId="74" xfId="1" applyNumberFormat="1" applyFont="1" applyFill="1" applyBorder="1"/>
    <xf numFmtId="6" fontId="12" fillId="17" borderId="76" xfId="1" applyNumberFormat="1" applyFont="1" applyFill="1" applyBorder="1"/>
    <xf numFmtId="6" fontId="12" fillId="9" borderId="76" xfId="1" applyNumberFormat="1" applyFont="1" applyFill="1" applyBorder="1"/>
    <xf numFmtId="6" fontId="12" fillId="9" borderId="78" xfId="1" applyNumberFormat="1" applyFont="1" applyFill="1" applyBorder="1"/>
    <xf numFmtId="6" fontId="12" fillId="9" borderId="94" xfId="1" applyNumberFormat="1" applyFont="1" applyFill="1" applyBorder="1"/>
    <xf numFmtId="6" fontId="12" fillId="9" borderId="79" xfId="1" applyNumberFormat="1" applyFont="1" applyFill="1" applyBorder="1"/>
    <xf numFmtId="6" fontId="12" fillId="18" borderId="85" xfId="1" applyNumberFormat="1" applyFont="1" applyFill="1" applyBorder="1"/>
    <xf numFmtId="6" fontId="12" fillId="9" borderId="74" xfId="1" applyNumberFormat="1" applyFont="1" applyFill="1" applyBorder="1"/>
    <xf numFmtId="6" fontId="12" fillId="17" borderId="75" xfId="1" applyNumberFormat="1" applyFont="1" applyFill="1" applyBorder="1"/>
    <xf numFmtId="8" fontId="12" fillId="17" borderId="76" xfId="1" applyNumberFormat="1" applyFont="1" applyFill="1" applyBorder="1"/>
    <xf numFmtId="8" fontId="12" fillId="17" borderId="77" xfId="1" applyNumberFormat="1" applyFont="1" applyFill="1" applyBorder="1"/>
    <xf numFmtId="38" fontId="12" fillId="17" borderId="76" xfId="1" applyNumberFormat="1" applyFont="1" applyFill="1" applyBorder="1"/>
    <xf numFmtId="38" fontId="12" fillId="17" borderId="77" xfId="1" applyNumberFormat="1" applyFont="1" applyFill="1" applyBorder="1"/>
    <xf numFmtId="6" fontId="12" fillId="17" borderId="81" xfId="1" applyNumberFormat="1" applyFont="1" applyFill="1" applyBorder="1"/>
    <xf numFmtId="6" fontId="12" fillId="17" borderId="82" xfId="1" applyNumberFormat="1" applyFont="1" applyFill="1" applyBorder="1"/>
    <xf numFmtId="0" fontId="12" fillId="17" borderId="81" xfId="1" applyFont="1" applyFill="1" applyBorder="1"/>
    <xf numFmtId="6" fontId="57" fillId="0" borderId="0" xfId="1" applyNumberFormat="1" applyFont="1" applyAlignment="1">
      <alignment horizontal="center"/>
    </xf>
    <xf numFmtId="6" fontId="12" fillId="15" borderId="42" xfId="1" applyNumberFormat="1" applyFont="1" applyFill="1" applyBorder="1" applyProtection="1">
      <protection locked="0"/>
    </xf>
    <xf numFmtId="6" fontId="12" fillId="9" borderId="99" xfId="1" applyNumberFormat="1" applyFont="1" applyFill="1" applyBorder="1"/>
    <xf numFmtId="6" fontId="12" fillId="17" borderId="78" xfId="1" applyNumberFormat="1" applyFont="1" applyFill="1" applyBorder="1"/>
    <xf numFmtId="6" fontId="12" fillId="17" borderId="94" xfId="1" applyNumberFormat="1" applyFont="1" applyFill="1" applyBorder="1"/>
    <xf numFmtId="0" fontId="5" fillId="0" borderId="0" xfId="0" applyFont="1" applyAlignment="1">
      <alignment horizontal="left" vertical="top" wrapText="1"/>
    </xf>
    <xf numFmtId="6" fontId="12" fillId="3" borderId="37" xfId="1" applyNumberFormat="1" applyFont="1" applyFill="1" applyBorder="1" applyProtection="1">
      <protection locked="0"/>
    </xf>
    <xf numFmtId="6" fontId="12" fillId="9" borderId="53" xfId="1" applyNumberFormat="1" applyFont="1" applyFill="1" applyBorder="1"/>
    <xf numFmtId="6" fontId="12" fillId="9" borderId="103" xfId="1" applyNumberFormat="1" applyFont="1" applyFill="1" applyBorder="1"/>
    <xf numFmtId="6" fontId="12" fillId="17" borderId="54" xfId="1" applyNumberFormat="1" applyFont="1" applyFill="1" applyBorder="1"/>
    <xf numFmtId="0" fontId="59" fillId="0" borderId="0" xfId="3" applyFont="1" applyFill="1" applyBorder="1" applyAlignment="1" applyProtection="1">
      <alignment horizontal="center" vertical="center" wrapText="1"/>
    </xf>
    <xf numFmtId="6" fontId="12" fillId="9" borderId="64" xfId="1" applyNumberFormat="1" applyFont="1" applyFill="1" applyBorder="1"/>
    <xf numFmtId="6" fontId="12" fillId="3" borderId="43" xfId="1" applyNumberFormat="1" applyFont="1" applyFill="1" applyBorder="1" applyProtection="1">
      <protection locked="0"/>
    </xf>
    <xf numFmtId="6" fontId="12" fillId="9" borderId="104" xfId="1" applyNumberFormat="1" applyFont="1" applyFill="1" applyBorder="1"/>
    <xf numFmtId="6" fontId="12" fillId="9" borderId="105" xfId="1" applyNumberFormat="1" applyFont="1" applyFill="1" applyBorder="1"/>
    <xf numFmtId="6" fontId="12" fillId="17" borderId="106" xfId="1" applyNumberFormat="1" applyFont="1" applyFill="1" applyBorder="1"/>
    <xf numFmtId="6" fontId="12" fillId="18" borderId="107" xfId="1" applyNumberFormat="1" applyFont="1" applyFill="1" applyBorder="1"/>
    <xf numFmtId="6" fontId="12" fillId="9" borderId="106" xfId="1" applyNumberFormat="1" applyFont="1" applyFill="1" applyBorder="1"/>
    <xf numFmtId="0" fontId="12" fillId="17" borderId="102" xfId="1" applyFont="1" applyFill="1" applyBorder="1"/>
    <xf numFmtId="6" fontId="12" fillId="9" borderId="95" xfId="1" applyNumberFormat="1" applyFont="1" applyFill="1" applyBorder="1"/>
    <xf numFmtId="0" fontId="5" fillId="0" borderId="1" xfId="0" applyFont="1" applyBorder="1" applyAlignment="1">
      <alignment wrapText="1"/>
    </xf>
    <xf numFmtId="0" fontId="5" fillId="0" borderId="0" xfId="0" applyFont="1" applyAlignment="1">
      <alignment horizontal="centerContinuous"/>
    </xf>
    <xf numFmtId="0" fontId="9" fillId="0" borderId="0" xfId="0" applyFont="1"/>
    <xf numFmtId="1" fontId="9" fillId="0" borderId="0" xfId="0" applyNumberFormat="1" applyFont="1" applyAlignment="1">
      <alignment horizontal="center" vertical="center"/>
    </xf>
    <xf numFmtId="1" fontId="10" fillId="0" borderId="0" xfId="0" applyNumberFormat="1" applyFont="1" applyAlignment="1">
      <alignment horizontal="center" vertical="center"/>
    </xf>
    <xf numFmtId="0" fontId="8" fillId="0" borderId="0" xfId="0" applyFont="1"/>
    <xf numFmtId="0" fontId="9" fillId="0" borderId="4" xfId="0" applyFont="1" applyBorder="1" applyAlignment="1">
      <alignment horizontal="left" vertical="center"/>
    </xf>
    <xf numFmtId="0" fontId="11" fillId="0" borderId="0" xfId="0" applyFont="1" applyAlignment="1">
      <alignment horizontal="center"/>
    </xf>
    <xf numFmtId="3" fontId="5" fillId="0" borderId="0" xfId="0" applyNumberFormat="1" applyFont="1" applyAlignment="1">
      <alignment horizontal="center" vertical="center"/>
    </xf>
    <xf numFmtId="1" fontId="5" fillId="0" borderId="0" xfId="0" applyNumberFormat="1" applyFont="1" applyAlignment="1">
      <alignment vertical="top"/>
    </xf>
    <xf numFmtId="164" fontId="5" fillId="6" borderId="0" xfId="0" applyNumberFormat="1" applyFont="1" applyFill="1" applyAlignment="1">
      <alignment horizontal="center" vertical="center"/>
    </xf>
    <xf numFmtId="167" fontId="5" fillId="6" borderId="0" xfId="0" applyNumberFormat="1" applyFont="1" applyFill="1" applyAlignment="1">
      <alignment horizontal="center" vertical="center"/>
    </xf>
    <xf numFmtId="0" fontId="5" fillId="0" borderId="29" xfId="0" applyFont="1" applyBorder="1"/>
    <xf numFmtId="0" fontId="7" fillId="0" borderId="30" xfId="0" applyFont="1" applyBorder="1"/>
    <xf numFmtId="0" fontId="5" fillId="0" borderId="30" xfId="0" applyFont="1" applyBorder="1"/>
    <xf numFmtId="0" fontId="0" fillId="0" borderId="30" xfId="0" applyBorder="1"/>
    <xf numFmtId="1" fontId="8" fillId="0" borderId="31" xfId="0" applyNumberFormat="1" applyFont="1" applyBorder="1"/>
    <xf numFmtId="0" fontId="5" fillId="0" borderId="36" xfId="0" applyFont="1" applyBorder="1"/>
    <xf numFmtId="166" fontId="8" fillId="0" borderId="32" xfId="0" applyNumberFormat="1" applyFont="1" applyBorder="1" applyAlignment="1">
      <alignment horizontal="left" vertical="center" indent="1"/>
    </xf>
    <xf numFmtId="1" fontId="5" fillId="0" borderId="1" xfId="0" applyNumberFormat="1" applyFont="1" applyBorder="1" applyAlignment="1">
      <alignment wrapText="1"/>
    </xf>
    <xf numFmtId="166" fontId="42" fillId="0" borderId="7" xfId="0" applyNumberFormat="1" applyFont="1" applyBorder="1" applyAlignment="1">
      <alignment vertical="center"/>
    </xf>
    <xf numFmtId="166" fontId="42" fillId="0" borderId="0" xfId="0" applyNumberFormat="1" applyFont="1" applyAlignment="1">
      <alignment vertical="center"/>
    </xf>
    <xf numFmtId="166" fontId="14" fillId="0" borderId="32" xfId="0" applyNumberFormat="1" applyFont="1" applyBorder="1" applyAlignment="1">
      <alignment horizontal="left" vertical="center" indent="1"/>
    </xf>
    <xf numFmtId="1" fontId="5" fillId="0" borderId="1" xfId="0" applyNumberFormat="1" applyFont="1" applyBorder="1" applyAlignment="1">
      <alignment horizontal="left" vertical="center" wrapText="1"/>
    </xf>
    <xf numFmtId="3" fontId="5" fillId="9" borderId="1" xfId="0" applyNumberFormat="1" applyFont="1" applyFill="1" applyBorder="1" applyAlignment="1">
      <alignment horizontal="center" vertical="center"/>
    </xf>
    <xf numFmtId="1" fontId="8" fillId="0" borderId="32" xfId="0" applyNumberFormat="1" applyFont="1" applyBorder="1"/>
    <xf numFmtId="1" fontId="5" fillId="0" borderId="0" xfId="0" applyNumberFormat="1" applyFont="1" applyAlignment="1">
      <alignment horizontal="left" vertical="center" wrapText="1"/>
    </xf>
    <xf numFmtId="166" fontId="42" fillId="0" borderId="0" xfId="0" applyNumberFormat="1" applyFont="1" applyAlignment="1">
      <alignment horizontal="left" vertical="center" indent="1"/>
    </xf>
    <xf numFmtId="0" fontId="42" fillId="0" borderId="7" xfId="4" applyNumberFormat="1" applyFont="1" applyBorder="1" applyAlignment="1" applyProtection="1">
      <alignment vertical="center"/>
    </xf>
    <xf numFmtId="0" fontId="42" fillId="0" borderId="0" xfId="4" applyNumberFormat="1" applyFont="1" applyBorder="1" applyAlignment="1" applyProtection="1">
      <alignment vertical="center"/>
    </xf>
    <xf numFmtId="0" fontId="5" fillId="0" borderId="33" xfId="0" applyFont="1" applyBorder="1"/>
    <xf numFmtId="1" fontId="5" fillId="0" borderId="34" xfId="0" applyNumberFormat="1" applyFont="1" applyBorder="1" applyAlignment="1">
      <alignment horizontal="left" vertical="center" wrapText="1"/>
    </xf>
    <xf numFmtId="3" fontId="5" fillId="0" borderId="34" xfId="0" applyNumberFormat="1" applyFont="1" applyBorder="1" applyAlignment="1">
      <alignment horizontal="center" vertical="center"/>
    </xf>
    <xf numFmtId="165" fontId="5" fillId="0" borderId="34" xfId="0" applyNumberFormat="1" applyFont="1" applyBorder="1"/>
    <xf numFmtId="0" fontId="0" fillId="0" borderId="34" xfId="0" applyBorder="1"/>
    <xf numFmtId="1" fontId="5" fillId="0" borderId="35" xfId="0" applyNumberFormat="1" applyFont="1" applyBorder="1"/>
    <xf numFmtId="165" fontId="5" fillId="0" borderId="0" xfId="0" applyNumberFormat="1" applyFont="1"/>
    <xf numFmtId="0" fontId="7" fillId="0" borderId="0" xfId="0" applyFont="1" applyAlignment="1">
      <alignment wrapText="1"/>
    </xf>
    <xf numFmtId="0" fontId="13" fillId="18" borderId="90" xfId="1" applyFont="1" applyFill="1" applyBorder="1" applyAlignment="1">
      <alignment horizontal="left" wrapText="1"/>
    </xf>
    <xf numFmtId="6" fontId="12" fillId="18" borderId="57" xfId="1" applyNumberFormat="1" applyFont="1" applyFill="1" applyBorder="1"/>
    <xf numFmtId="6" fontId="12" fillId="18" borderId="83" xfId="1" applyNumberFormat="1" applyFont="1" applyFill="1" applyBorder="1"/>
    <xf numFmtId="6" fontId="12" fillId="18" borderId="84" xfId="1" applyNumberFormat="1" applyFont="1" applyFill="1" applyBorder="1"/>
    <xf numFmtId="6" fontId="12" fillId="18" borderId="90" xfId="1" applyNumberFormat="1" applyFont="1" applyFill="1" applyBorder="1"/>
    <xf numFmtId="6" fontId="12" fillId="9" borderId="37" xfId="1" applyNumberFormat="1" applyFont="1" applyFill="1" applyBorder="1"/>
    <xf numFmtId="6" fontId="12" fillId="9" borderId="38" xfId="1" applyNumberFormat="1" applyFont="1" applyFill="1" applyBorder="1"/>
    <xf numFmtId="6" fontId="12" fillId="17" borderId="38" xfId="1" applyNumberFormat="1" applyFont="1" applyFill="1" applyBorder="1"/>
    <xf numFmtId="6" fontId="12" fillId="18" borderId="86" xfId="1" applyNumberFormat="1" applyFont="1" applyFill="1" applyBorder="1"/>
    <xf numFmtId="8" fontId="12" fillId="9" borderId="38" xfId="1" applyNumberFormat="1" applyFont="1" applyFill="1" applyBorder="1"/>
    <xf numFmtId="0" fontId="12" fillId="17" borderId="43" xfId="1" applyFont="1" applyFill="1" applyBorder="1"/>
    <xf numFmtId="6" fontId="12" fillId="9" borderId="60" xfId="1" applyNumberFormat="1" applyFont="1" applyFill="1" applyBorder="1"/>
    <xf numFmtId="1" fontId="5" fillId="0" borderId="61" xfId="0" applyNumberFormat="1" applyFont="1" applyBorder="1" applyAlignment="1">
      <alignment horizontal="left" vertical="center"/>
    </xf>
    <xf numFmtId="6" fontId="12" fillId="3" borderId="42" xfId="1" applyNumberFormat="1" applyFont="1" applyFill="1" applyBorder="1" applyProtection="1">
      <protection locked="0"/>
    </xf>
    <xf numFmtId="6" fontId="12" fillId="15" borderId="38" xfId="1" applyNumberFormat="1" applyFont="1" applyFill="1" applyBorder="1" applyProtection="1">
      <protection locked="0"/>
    </xf>
    <xf numFmtId="0" fontId="7" fillId="0" borderId="0" xfId="0" applyFont="1" applyAlignment="1">
      <alignment horizontal="centerContinuous" vertical="center"/>
    </xf>
    <xf numFmtId="1" fontId="8" fillId="0" borderId="0" xfId="0" applyNumberFormat="1" applyFont="1"/>
    <xf numFmtId="0" fontId="5" fillId="9" borderId="1" xfId="0" applyFont="1" applyFill="1" applyBorder="1" applyAlignment="1">
      <alignment horizontal="center" vertical="center"/>
    </xf>
    <xf numFmtId="0" fontId="9" fillId="0" borderId="4" xfId="0" applyFont="1" applyBorder="1" applyAlignment="1">
      <alignment horizontal="left" vertical="center" wrapText="1"/>
    </xf>
    <xf numFmtId="0" fontId="5" fillId="0" borderId="10" xfId="0" applyFont="1" applyBorder="1"/>
    <xf numFmtId="3" fontId="5" fillId="9" borderId="91" xfId="0" applyNumberFormat="1" applyFont="1" applyFill="1" applyBorder="1" applyAlignment="1">
      <alignment horizontal="center"/>
    </xf>
    <xf numFmtId="0" fontId="5" fillId="0" borderId="27" xfId="0" applyFont="1" applyBorder="1"/>
    <xf numFmtId="1" fontId="5" fillId="9" borderId="91" xfId="0" applyNumberFormat="1" applyFont="1" applyFill="1" applyBorder="1" applyAlignment="1">
      <alignment horizontal="center" vertical="center"/>
    </xf>
    <xf numFmtId="3" fontId="8" fillId="0" borderId="0" xfId="0" applyNumberFormat="1" applyFont="1" applyAlignment="1">
      <alignment horizontal="center" vertical="center"/>
    </xf>
    <xf numFmtId="0" fontId="5" fillId="0" borderId="1" xfId="0" applyFont="1" applyBorder="1"/>
    <xf numFmtId="164" fontId="5" fillId="0" borderId="0" xfId="0" applyNumberFormat="1" applyFont="1" applyAlignment="1">
      <alignment horizontal="center" vertical="center"/>
    </xf>
    <xf numFmtId="0" fontId="52" fillId="0" borderId="1" xfId="0" applyFont="1" applyBorder="1"/>
    <xf numFmtId="1" fontId="5" fillId="0" borderId="0" xfId="0" applyNumberFormat="1" applyFont="1" applyAlignment="1">
      <alignment horizontal="centerContinuous"/>
    </xf>
    <xf numFmtId="0" fontId="36" fillId="0" borderId="0" xfId="3" applyFont="1" applyFill="1" applyBorder="1" applyAlignment="1" applyProtection="1">
      <alignment horizontal="center" vertical="center" wrapText="1"/>
    </xf>
    <xf numFmtId="0" fontId="5" fillId="0" borderId="0" xfId="0" applyFont="1" applyAlignment="1">
      <alignment horizontal="left" vertical="top"/>
    </xf>
    <xf numFmtId="0" fontId="9" fillId="0" borderId="0" xfId="0" applyFont="1" applyAlignment="1">
      <alignment horizontal="center" wrapText="1"/>
    </xf>
    <xf numFmtId="1" fontId="9" fillId="0" borderId="0" xfId="0" applyNumberFormat="1" applyFont="1" applyAlignment="1">
      <alignment horizontal="center" wrapText="1"/>
    </xf>
    <xf numFmtId="1" fontId="14" fillId="0" borderId="0" xfId="0" applyNumberFormat="1" applyFont="1" applyAlignment="1">
      <alignment horizontal="center" vertical="top" wrapText="1"/>
    </xf>
    <xf numFmtId="0" fontId="8" fillId="0" borderId="0" xfId="0" applyFont="1" applyAlignment="1">
      <alignment horizontal="center" vertical="center"/>
    </xf>
    <xf numFmtId="0" fontId="7" fillId="0" borderId="0" xfId="0" applyFont="1" applyAlignment="1">
      <alignment horizontal="left" vertical="top" wrapText="1"/>
    </xf>
    <xf numFmtId="0" fontId="40" fillId="0" borderId="0" xfId="0" applyFont="1" applyAlignment="1">
      <alignment horizontal="left" vertical="top" wrapText="1"/>
    </xf>
    <xf numFmtId="0" fontId="9" fillId="0" borderId="0" xfId="0" applyFont="1" applyAlignment="1">
      <alignment horizontal="left" vertical="top" wrapText="1"/>
    </xf>
    <xf numFmtId="169" fontId="42" fillId="0" borderId="0" xfId="0" applyNumberFormat="1" applyFont="1" applyAlignment="1">
      <alignment vertical="center"/>
    </xf>
    <xf numFmtId="0" fontId="9" fillId="0" borderId="1" xfId="0" applyFont="1" applyBorder="1" applyAlignment="1">
      <alignment horizontal="left" vertical="top" wrapText="1"/>
    </xf>
    <xf numFmtId="0" fontId="55" fillId="0" borderId="0" xfId="0" applyFont="1" applyAlignment="1">
      <alignment horizontal="left" vertical="top" wrapText="1"/>
    </xf>
    <xf numFmtId="0" fontId="38" fillId="0" borderId="0" xfId="0" applyFont="1"/>
    <xf numFmtId="3" fontId="9" fillId="6" borderId="0" xfId="0" applyNumberFormat="1" applyFont="1" applyFill="1" applyAlignment="1">
      <alignment horizontal="center" vertical="top" wrapText="1"/>
    </xf>
    <xf numFmtId="1" fontId="0" fillId="0" borderId="0" xfId="0" applyNumberFormat="1"/>
    <xf numFmtId="1" fontId="38" fillId="0" borderId="0" xfId="0" applyNumberFormat="1" applyFont="1"/>
    <xf numFmtId="169" fontId="14" fillId="0" borderId="0" xfId="0" applyNumberFormat="1" applyFont="1" applyAlignment="1">
      <alignment horizontal="left" vertical="center" indent="1"/>
    </xf>
    <xf numFmtId="0" fontId="24" fillId="0" borderId="0" xfId="0" applyFont="1"/>
    <xf numFmtId="6" fontId="12" fillId="9" borderId="109" xfId="1" applyNumberFormat="1" applyFont="1" applyFill="1" applyBorder="1"/>
    <xf numFmtId="170" fontId="15" fillId="9" borderId="38" xfId="1" applyNumberFormat="1" applyFont="1" applyFill="1" applyBorder="1"/>
    <xf numFmtId="170" fontId="15" fillId="15" borderId="38" xfId="1" applyNumberFormat="1" applyFont="1" applyFill="1" applyBorder="1" applyProtection="1">
      <protection locked="0"/>
    </xf>
    <xf numFmtId="38" fontId="15" fillId="9" borderId="38" xfId="1" applyNumberFormat="1" applyFont="1" applyFill="1" applyBorder="1"/>
    <xf numFmtId="38" fontId="15" fillId="3" borderId="38" xfId="1" applyNumberFormat="1" applyFont="1" applyFill="1" applyBorder="1" applyProtection="1">
      <protection locked="0"/>
    </xf>
    <xf numFmtId="1" fontId="15" fillId="15" borderId="38" xfId="1" applyNumberFormat="1" applyFont="1" applyFill="1" applyBorder="1" applyProtection="1">
      <protection locked="0"/>
    </xf>
    <xf numFmtId="170" fontId="15" fillId="9" borderId="66" xfId="1" applyNumberFormat="1" applyFont="1" applyFill="1" applyBorder="1"/>
    <xf numFmtId="170" fontId="15" fillId="9" borderId="70" xfId="1" applyNumberFormat="1" applyFont="1" applyFill="1" applyBorder="1"/>
    <xf numFmtId="38" fontId="15" fillId="9" borderId="66" xfId="1" applyNumberFormat="1" applyFont="1" applyFill="1" applyBorder="1"/>
    <xf numFmtId="1" fontId="15" fillId="9" borderId="66" xfId="1" applyNumberFormat="1" applyFont="1" applyFill="1" applyBorder="1"/>
    <xf numFmtId="1" fontId="15" fillId="9" borderId="70" xfId="1" applyNumberFormat="1" applyFont="1" applyFill="1" applyBorder="1"/>
    <xf numFmtId="6" fontId="13" fillId="18" borderId="110" xfId="1" applyNumberFormat="1" applyFont="1" applyFill="1" applyBorder="1" applyAlignment="1">
      <alignment horizontal="center"/>
    </xf>
    <xf numFmtId="6" fontId="13" fillId="18" borderId="111" xfId="1" applyNumberFormat="1" applyFont="1" applyFill="1" applyBorder="1" applyAlignment="1">
      <alignment horizontal="center"/>
    </xf>
    <xf numFmtId="6" fontId="12" fillId="9" borderId="102" xfId="1" applyNumberFormat="1" applyFont="1" applyFill="1" applyBorder="1"/>
    <xf numFmtId="170" fontId="15" fillId="9" borderId="106" xfId="1" applyNumberFormat="1" applyFont="1" applyFill="1" applyBorder="1"/>
    <xf numFmtId="38" fontId="15" fillId="9" borderId="106" xfId="1" applyNumberFormat="1" applyFont="1" applyFill="1" applyBorder="1"/>
    <xf numFmtId="6" fontId="12" fillId="9" borderId="112" xfId="1" applyNumberFormat="1" applyFont="1" applyFill="1" applyBorder="1"/>
    <xf numFmtId="6" fontId="12" fillId="5" borderId="54" xfId="1" applyNumberFormat="1" applyFont="1" applyFill="1" applyBorder="1" applyProtection="1">
      <protection locked="0"/>
    </xf>
    <xf numFmtId="6" fontId="12" fillId="18" borderId="54" xfId="1" applyNumberFormat="1" applyFont="1" applyFill="1" applyBorder="1" applyProtection="1">
      <protection locked="0"/>
    </xf>
    <xf numFmtId="6" fontId="12" fillId="18" borderId="54" xfId="1" applyNumberFormat="1" applyFont="1" applyFill="1" applyBorder="1"/>
    <xf numFmtId="6" fontId="12" fillId="5" borderId="54" xfId="1" applyNumberFormat="1" applyFont="1" applyFill="1" applyBorder="1"/>
    <xf numFmtId="6" fontId="12" fillId="9" borderId="12" xfId="1" applyNumberFormat="1" applyFont="1" applyFill="1" applyBorder="1"/>
    <xf numFmtId="0" fontId="13" fillId="5" borderId="13" xfId="1" applyFont="1" applyFill="1" applyBorder="1" applyAlignment="1" applyProtection="1">
      <alignment horizontal="center"/>
      <protection locked="0"/>
    </xf>
    <xf numFmtId="6" fontId="12" fillId="18" borderId="59" xfId="1" applyNumberFormat="1" applyFont="1" applyFill="1" applyBorder="1"/>
    <xf numFmtId="170" fontId="12" fillId="15" borderId="37" xfId="1" applyNumberFormat="1" applyFont="1" applyFill="1" applyBorder="1" applyProtection="1">
      <protection locked="0"/>
    </xf>
    <xf numFmtId="0" fontId="7" fillId="2" borderId="0" xfId="0" applyFont="1" applyFill="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2" borderId="0" xfId="0" applyFont="1" applyFill="1" applyAlignment="1">
      <alignment horizontal="center" vertical="center" wrapText="1"/>
    </xf>
    <xf numFmtId="0" fontId="5" fillId="2" borderId="0" xfId="0" applyFont="1" applyFill="1" applyAlignment="1">
      <alignment vertical="center"/>
    </xf>
    <xf numFmtId="0" fontId="5" fillId="6" borderId="0" xfId="0" applyFont="1" applyFill="1" applyAlignment="1">
      <alignment vertical="center"/>
    </xf>
    <xf numFmtId="0" fontId="31" fillId="6" borderId="0" xfId="0" applyFont="1" applyFill="1" applyAlignment="1">
      <alignment horizontal="left" vertical="center"/>
    </xf>
    <xf numFmtId="0" fontId="13" fillId="6" borderId="0" xfId="1" applyFont="1" applyFill="1" applyAlignment="1">
      <alignment vertical="center" wrapText="1"/>
    </xf>
    <xf numFmtId="0" fontId="26" fillId="6" borderId="0" xfId="5" applyFill="1" applyAlignment="1">
      <alignment horizontal="left" vertical="center"/>
    </xf>
    <xf numFmtId="0" fontId="13" fillId="11" borderId="0" xfId="1" applyFont="1" applyFill="1" applyAlignment="1">
      <alignment horizontal="left" vertical="center"/>
    </xf>
    <xf numFmtId="0" fontId="13" fillId="11" borderId="0" xfId="1" applyFont="1" applyFill="1" applyAlignment="1">
      <alignment horizontal="center" vertical="center"/>
    </xf>
    <xf numFmtId="0" fontId="30" fillId="11" borderId="0" xfId="1" applyFont="1" applyFill="1" applyAlignment="1">
      <alignment horizontal="center" vertical="center" wrapText="1"/>
    </xf>
    <xf numFmtId="0" fontId="30" fillId="6" borderId="0" xfId="1" applyFont="1" applyFill="1" applyAlignment="1">
      <alignment horizontal="left" vertical="center"/>
    </xf>
    <xf numFmtId="0" fontId="30" fillId="6" borderId="0" xfId="1" applyFont="1" applyFill="1" applyAlignment="1">
      <alignment horizontal="left" vertical="center" wrapText="1"/>
    </xf>
    <xf numFmtId="0" fontId="7" fillId="6" borderId="0" xfId="0" applyFont="1" applyFill="1" applyAlignment="1">
      <alignment vertical="center"/>
    </xf>
    <xf numFmtId="0" fontId="7" fillId="6" borderId="0" xfId="0" applyFont="1" applyFill="1" applyAlignment="1">
      <alignment horizontal="center" vertical="center"/>
    </xf>
    <xf numFmtId="0" fontId="7" fillId="6" borderId="0" xfId="0" applyFont="1" applyFill="1" applyAlignment="1">
      <alignment horizontal="center" vertical="center" wrapText="1"/>
    </xf>
    <xf numFmtId="0" fontId="7" fillId="6" borderId="0" xfId="0" applyFont="1" applyFill="1" applyAlignment="1">
      <alignment vertical="center" wrapText="1"/>
    </xf>
    <xf numFmtId="0" fontId="7" fillId="6" borderId="0" xfId="0" applyFont="1" applyFill="1" applyAlignment="1">
      <alignment horizontal="left" vertical="center" wrapText="1"/>
    </xf>
    <xf numFmtId="0" fontId="0" fillId="6" borderId="0" xfId="0" applyFill="1" applyAlignment="1">
      <alignment vertical="center" wrapText="1"/>
    </xf>
    <xf numFmtId="0" fontId="0" fillId="6" borderId="0" xfId="0" applyFill="1" applyAlignment="1">
      <alignment horizontal="center" vertical="center" wrapText="1"/>
    </xf>
    <xf numFmtId="0" fontId="0" fillId="6" borderId="0" xfId="0" applyFill="1" applyAlignment="1">
      <alignment vertical="center"/>
    </xf>
    <xf numFmtId="0" fontId="29" fillId="6" borderId="0" xfId="0" applyFont="1" applyFill="1" applyAlignment="1">
      <alignment horizontal="left" vertical="center" wrapText="1"/>
    </xf>
    <xf numFmtId="0" fontId="46" fillId="6" borderId="0" xfId="5" applyFont="1" applyFill="1" applyAlignment="1">
      <alignment horizontal="left" vertical="center"/>
    </xf>
    <xf numFmtId="0" fontId="47" fillId="17" borderId="58" xfId="1" applyFont="1" applyFill="1" applyBorder="1" applyAlignment="1">
      <alignment horizontal="center" vertical="center" wrapText="1"/>
    </xf>
    <xf numFmtId="0" fontId="47" fillId="17" borderId="57" xfId="1" applyFont="1" applyFill="1" applyBorder="1" applyAlignment="1">
      <alignment horizontal="center" vertical="center" wrapText="1"/>
    </xf>
    <xf numFmtId="0" fontId="47" fillId="17" borderId="59" xfId="1" applyFont="1" applyFill="1" applyBorder="1" applyAlignment="1">
      <alignment horizontal="center" vertical="center" wrapText="1"/>
    </xf>
    <xf numFmtId="0" fontId="47" fillId="17" borderId="59" xfId="1" applyFont="1" applyFill="1" applyBorder="1" applyAlignment="1">
      <alignment horizontal="center" vertical="center"/>
    </xf>
    <xf numFmtId="0" fontId="31" fillId="11" borderId="59" xfId="0" applyFont="1" applyFill="1" applyBorder="1" applyAlignment="1">
      <alignment horizontal="center" vertical="center" wrapText="1"/>
    </xf>
    <xf numFmtId="0" fontId="47" fillId="17" borderId="57" xfId="1" applyFont="1" applyFill="1" applyBorder="1" applyAlignment="1">
      <alignment horizontal="center" vertical="center"/>
    </xf>
    <xf numFmtId="0" fontId="47" fillId="17" borderId="57" xfId="1" applyFont="1" applyFill="1" applyBorder="1" applyAlignment="1">
      <alignment horizontal="left" vertical="center" wrapText="1"/>
    </xf>
    <xf numFmtId="0" fontId="47" fillId="5" borderId="26" xfId="1" applyFont="1" applyFill="1" applyBorder="1" applyAlignment="1">
      <alignment vertical="center" wrapText="1"/>
    </xf>
    <xf numFmtId="0" fontId="47" fillId="5" borderId="37" xfId="1" applyFont="1" applyFill="1" applyBorder="1" applyAlignment="1">
      <alignment horizontal="center" vertical="center" wrapText="1"/>
    </xf>
    <xf numFmtId="0" fontId="47" fillId="5" borderId="54" xfId="1" applyFont="1" applyFill="1" applyBorder="1" applyAlignment="1">
      <alignment horizontal="center" vertical="center" wrapText="1"/>
    </xf>
    <xf numFmtId="0" fontId="47" fillId="5" borderId="54" xfId="1" applyFont="1" applyFill="1" applyBorder="1" applyAlignment="1">
      <alignment vertical="center" wrapText="1"/>
    </xf>
    <xf numFmtId="0" fontId="47" fillId="5" borderId="37" xfId="1" applyFont="1" applyFill="1" applyBorder="1" applyAlignment="1">
      <alignment vertical="center" wrapText="1"/>
    </xf>
    <xf numFmtId="0" fontId="47" fillId="18" borderId="19" xfId="1" applyFont="1" applyFill="1" applyBorder="1" applyAlignment="1">
      <alignment vertical="center" wrapText="1"/>
    </xf>
    <xf numFmtId="0" fontId="48" fillId="18" borderId="38" xfId="1" applyFont="1" applyFill="1" applyBorder="1" applyAlignment="1">
      <alignment horizontal="center" vertical="center" wrapText="1"/>
    </xf>
    <xf numFmtId="0" fontId="48" fillId="18" borderId="53" xfId="1" applyFont="1" applyFill="1" applyBorder="1" applyAlignment="1">
      <alignment horizontal="center" vertical="center" wrapText="1"/>
    </xf>
    <xf numFmtId="0" fontId="48" fillId="18" borderId="53" xfId="1" applyFont="1" applyFill="1" applyBorder="1" applyAlignment="1">
      <alignment vertical="center" wrapText="1"/>
    </xf>
    <xf numFmtId="0" fontId="48" fillId="18" borderId="38" xfId="1" applyFont="1" applyFill="1" applyBorder="1" applyAlignment="1">
      <alignment vertical="center" wrapText="1"/>
    </xf>
    <xf numFmtId="0" fontId="61" fillId="6" borderId="0" xfId="5" applyFont="1" applyFill="1" applyAlignment="1">
      <alignment horizontal="left" vertical="center"/>
    </xf>
    <xf numFmtId="0" fontId="45" fillId="0" borderId="19" xfId="1" applyFont="1" applyBorder="1" applyAlignment="1">
      <alignment horizontal="left" vertical="center" wrapText="1"/>
    </xf>
    <xf numFmtId="0" fontId="45" fillId="9" borderId="54" xfId="1" applyFont="1" applyFill="1" applyBorder="1" applyAlignment="1">
      <alignment horizontal="center" vertical="center" wrapText="1"/>
    </xf>
    <xf numFmtId="6" fontId="45" fillId="9" borderId="37" xfId="1" applyNumberFormat="1" applyFont="1" applyFill="1" applyBorder="1" applyAlignment="1">
      <alignment horizontal="center" vertical="center" wrapText="1"/>
    </xf>
    <xf numFmtId="6" fontId="45" fillId="9" borderId="37" xfId="1" applyNumberFormat="1" applyFont="1" applyFill="1" applyBorder="1" applyAlignment="1">
      <alignment horizontal="center" vertical="center"/>
    </xf>
    <xf numFmtId="6" fontId="45" fillId="0" borderId="37" xfId="1" applyNumberFormat="1" applyFont="1" applyBorder="1" applyAlignment="1">
      <alignment horizontal="left" vertical="center" wrapText="1"/>
    </xf>
    <xf numFmtId="0" fontId="45" fillId="9" borderId="53" xfId="1" applyFont="1" applyFill="1" applyBorder="1" applyAlignment="1">
      <alignment horizontal="center" vertical="center" wrapText="1"/>
    </xf>
    <xf numFmtId="6" fontId="45" fillId="9" borderId="38" xfId="1" applyNumberFormat="1" applyFont="1" applyFill="1" applyBorder="1" applyAlignment="1">
      <alignment horizontal="center" vertical="center" wrapText="1"/>
    </xf>
    <xf numFmtId="6" fontId="45" fillId="0" borderId="38" xfId="1" applyNumberFormat="1" applyFont="1" applyBorder="1" applyAlignment="1">
      <alignment horizontal="left" vertical="center" wrapText="1"/>
    </xf>
    <xf numFmtId="0" fontId="45" fillId="0" borderId="21" xfId="1" applyFont="1" applyBorder="1" applyAlignment="1">
      <alignment horizontal="left" vertical="center" wrapText="1"/>
    </xf>
    <xf numFmtId="0" fontId="45" fillId="9" borderId="55" xfId="1" applyFont="1" applyFill="1" applyBorder="1" applyAlignment="1">
      <alignment horizontal="center" vertical="center" wrapText="1"/>
    </xf>
    <xf numFmtId="6" fontId="45" fillId="9" borderId="42" xfId="1" applyNumberFormat="1" applyFont="1" applyFill="1" applyBorder="1" applyAlignment="1">
      <alignment horizontal="center" vertical="center" wrapText="1"/>
    </xf>
    <xf numFmtId="6" fontId="45" fillId="0" borderId="42" xfId="1" applyNumberFormat="1" applyFont="1" applyBorder="1" applyAlignment="1">
      <alignment horizontal="left" vertical="center" wrapText="1"/>
    </xf>
    <xf numFmtId="0" fontId="47" fillId="18" borderId="19" xfId="1" applyFont="1" applyFill="1" applyBorder="1" applyAlignment="1">
      <alignment horizontal="left" vertical="center" wrapText="1"/>
    </xf>
    <xf numFmtId="0" fontId="47" fillId="18" borderId="38" xfId="1" applyFont="1" applyFill="1" applyBorder="1" applyAlignment="1">
      <alignment horizontal="center" vertical="center" wrapText="1"/>
    </xf>
    <xf numFmtId="6" fontId="45" fillId="18" borderId="53" xfId="1" applyNumberFormat="1" applyFont="1" applyFill="1" applyBorder="1" applyAlignment="1">
      <alignment horizontal="center" vertical="center"/>
    </xf>
    <xf numFmtId="0" fontId="48" fillId="18" borderId="38" xfId="1" applyFont="1" applyFill="1" applyBorder="1" applyAlignment="1">
      <alignment horizontal="left" vertical="center" wrapText="1"/>
    </xf>
    <xf numFmtId="0" fontId="45" fillId="0" borderId="26" xfId="1" applyFont="1" applyBorder="1" applyAlignment="1">
      <alignment horizontal="left" vertical="center" wrapText="1"/>
    </xf>
    <xf numFmtId="0" fontId="45" fillId="6" borderId="21" xfId="1" applyFont="1" applyFill="1" applyBorder="1" applyAlignment="1">
      <alignment horizontal="left" vertical="center" wrapText="1"/>
    </xf>
    <xf numFmtId="6" fontId="45" fillId="6" borderId="42" xfId="1" applyNumberFormat="1" applyFont="1" applyFill="1" applyBorder="1" applyAlignment="1">
      <alignment horizontal="left" vertical="center" wrapText="1"/>
    </xf>
    <xf numFmtId="0" fontId="1" fillId="6" borderId="7" xfId="0" applyFont="1" applyFill="1" applyBorder="1" applyAlignment="1">
      <alignment horizontal="left" vertical="center" wrapText="1"/>
    </xf>
    <xf numFmtId="0" fontId="1" fillId="9" borderId="0" xfId="0" applyFont="1" applyFill="1" applyAlignment="1">
      <alignment horizontal="center" vertical="center" wrapText="1"/>
    </xf>
    <xf numFmtId="6" fontId="45" fillId="9" borderId="15" xfId="1" applyNumberFormat="1" applyFont="1" applyFill="1" applyBorder="1" applyAlignment="1">
      <alignment horizontal="center" vertical="center" wrapText="1"/>
    </xf>
    <xf numFmtId="6" fontId="45" fillId="0" borderId="15" xfId="1" applyNumberFormat="1" applyFont="1" applyBorder="1" applyAlignment="1">
      <alignment horizontal="left" vertical="center" wrapText="1"/>
    </xf>
    <xf numFmtId="0" fontId="47" fillId="18" borderId="19" xfId="1" applyFont="1" applyFill="1" applyBorder="1" applyAlignment="1">
      <alignment horizontal="right" vertical="center" wrapText="1"/>
    </xf>
    <xf numFmtId="0" fontId="47" fillId="18" borderId="53" xfId="1" applyFont="1" applyFill="1" applyBorder="1" applyAlignment="1">
      <alignment horizontal="center" vertical="center" wrapText="1"/>
    </xf>
    <xf numFmtId="0" fontId="47" fillId="18" borderId="53" xfId="1" applyFont="1" applyFill="1" applyBorder="1" applyAlignment="1">
      <alignment vertical="center" wrapText="1"/>
    </xf>
    <xf numFmtId="0" fontId="47" fillId="18" borderId="38" xfId="1" applyFont="1" applyFill="1" applyBorder="1" applyAlignment="1">
      <alignment vertical="center" wrapText="1"/>
    </xf>
    <xf numFmtId="6" fontId="47" fillId="9" borderId="38" xfId="1" applyNumberFormat="1" applyFont="1" applyFill="1" applyBorder="1" applyAlignment="1">
      <alignment horizontal="center" vertical="center"/>
    </xf>
    <xf numFmtId="0" fontId="49" fillId="6" borderId="0" xfId="5" applyFont="1" applyFill="1" applyAlignment="1">
      <alignment horizontal="left" vertical="center"/>
    </xf>
    <xf numFmtId="0" fontId="47" fillId="2" borderId="19" xfId="1" applyFont="1" applyFill="1" applyBorder="1" applyAlignment="1">
      <alignment vertical="center" wrapText="1"/>
    </xf>
    <xf numFmtId="0" fontId="47" fillId="2" borderId="38" xfId="1" applyFont="1" applyFill="1" applyBorder="1" applyAlignment="1">
      <alignment horizontal="center" vertical="center" wrapText="1"/>
    </xf>
    <xf numFmtId="0" fontId="47" fillId="2" borderId="53" xfId="1" applyFont="1" applyFill="1" applyBorder="1" applyAlignment="1">
      <alignment horizontal="center" vertical="center" wrapText="1"/>
    </xf>
    <xf numFmtId="0" fontId="47" fillId="2" borderId="53" xfId="1" applyFont="1" applyFill="1" applyBorder="1" applyAlignment="1">
      <alignment vertical="center" wrapText="1"/>
    </xf>
    <xf numFmtId="0" fontId="47" fillId="2" borderId="38" xfId="1" applyFont="1" applyFill="1" applyBorder="1" applyAlignment="1">
      <alignment vertical="center" wrapText="1"/>
    </xf>
    <xf numFmtId="0" fontId="47" fillId="5" borderId="19" xfId="1" applyFont="1" applyFill="1" applyBorder="1" applyAlignment="1">
      <alignment vertical="center" wrapText="1"/>
    </xf>
    <xf numFmtId="0" fontId="47" fillId="5" borderId="38" xfId="1" applyFont="1" applyFill="1" applyBorder="1" applyAlignment="1">
      <alignment horizontal="center" vertical="center" wrapText="1"/>
    </xf>
    <xf numFmtId="0" fontId="47" fillId="5" borderId="53" xfId="1" applyFont="1" applyFill="1" applyBorder="1" applyAlignment="1">
      <alignment horizontal="center" vertical="center" wrapText="1"/>
    </xf>
    <xf numFmtId="0" fontId="47" fillId="5" borderId="53" xfId="1" applyFont="1" applyFill="1" applyBorder="1" applyAlignment="1">
      <alignment vertical="center" wrapText="1"/>
    </xf>
    <xf numFmtId="0" fontId="47" fillId="5" borderId="38" xfId="1" applyFont="1" applyFill="1" applyBorder="1" applyAlignment="1">
      <alignment vertical="center" wrapText="1"/>
    </xf>
    <xf numFmtId="6" fontId="45" fillId="17" borderId="38" xfId="1" applyNumberFormat="1" applyFont="1" applyFill="1" applyBorder="1" applyAlignment="1">
      <alignment horizontal="center" vertical="center" wrapText="1"/>
    </xf>
    <xf numFmtId="6" fontId="47" fillId="0" borderId="38" xfId="1" applyNumberFormat="1" applyFont="1" applyBorder="1" applyAlignment="1">
      <alignment horizontal="left" vertical="center" wrapText="1"/>
    </xf>
    <xf numFmtId="0" fontId="50" fillId="6" borderId="0" xfId="5" applyFont="1" applyFill="1" applyAlignment="1">
      <alignment horizontal="left" vertical="center"/>
    </xf>
    <xf numFmtId="6" fontId="47" fillId="9" borderId="37" xfId="1" applyNumberFormat="1" applyFont="1" applyFill="1" applyBorder="1" applyAlignment="1">
      <alignment horizontal="center" vertical="center"/>
    </xf>
    <xf numFmtId="6" fontId="45" fillId="5" borderId="37" xfId="1" applyNumberFormat="1" applyFont="1" applyFill="1" applyBorder="1" applyAlignment="1">
      <alignment horizontal="right" vertical="center" wrapText="1"/>
    </xf>
    <xf numFmtId="0" fontId="46" fillId="6" borderId="0" xfId="5" applyFont="1" applyFill="1" applyAlignment="1">
      <alignment horizontal="right" vertical="center"/>
    </xf>
    <xf numFmtId="0" fontId="47" fillId="5" borderId="25" xfId="1" applyFont="1" applyFill="1" applyBorder="1" applyAlignment="1">
      <alignment vertical="center" wrapText="1"/>
    </xf>
    <xf numFmtId="0" fontId="47" fillId="5" borderId="43" xfId="1" applyFont="1" applyFill="1" applyBorder="1" applyAlignment="1">
      <alignment horizontal="center" vertical="center" wrapText="1"/>
    </xf>
    <xf numFmtId="0" fontId="47" fillId="5" borderId="56" xfId="1" applyFont="1" applyFill="1" applyBorder="1" applyAlignment="1">
      <alignment horizontal="center" vertical="center" wrapText="1"/>
    </xf>
    <xf numFmtId="6" fontId="47" fillId="9" borderId="43" xfId="1" applyNumberFormat="1" applyFont="1" applyFill="1" applyBorder="1" applyAlignment="1">
      <alignment horizontal="center" vertical="center"/>
    </xf>
    <xf numFmtId="6" fontId="45" fillId="5" borderId="43" xfId="1" applyNumberFormat="1" applyFont="1" applyFill="1" applyBorder="1" applyAlignment="1">
      <alignment horizontal="right" vertical="center" wrapText="1"/>
    </xf>
    <xf numFmtId="0" fontId="27" fillId="6" borderId="0" xfId="5" applyFont="1" applyFill="1" applyAlignment="1">
      <alignment horizontal="left" vertical="center"/>
    </xf>
    <xf numFmtId="44" fontId="27" fillId="6" borderId="0" xfId="4" applyFont="1" applyFill="1" applyBorder="1" applyAlignment="1" applyProtection="1">
      <alignment horizontal="left" vertical="center"/>
    </xf>
    <xf numFmtId="0" fontId="4" fillId="13" borderId="73" xfId="5" applyFont="1" applyFill="1" applyBorder="1" applyAlignment="1">
      <alignment horizontal="center" vertical="center" wrapText="1"/>
    </xf>
    <xf numFmtId="44" fontId="27" fillId="9" borderId="73" xfId="4" applyFont="1" applyFill="1" applyBorder="1" applyAlignment="1" applyProtection="1">
      <alignment horizontal="left" vertical="center" wrapText="1"/>
    </xf>
    <xf numFmtId="0" fontId="28" fillId="8" borderId="3" xfId="5" applyFont="1" applyFill="1" applyBorder="1" applyAlignment="1">
      <alignment horizontal="center" vertical="center" wrapText="1"/>
    </xf>
    <xf numFmtId="0" fontId="28" fillId="8" borderId="1" xfId="5" applyFont="1" applyFill="1" applyBorder="1" applyAlignment="1">
      <alignment horizontal="center" vertical="center" wrapText="1"/>
    </xf>
    <xf numFmtId="0" fontId="28" fillId="8" borderId="49" xfId="5" applyFont="1" applyFill="1" applyBorder="1" applyAlignment="1">
      <alignment horizontal="center" vertical="center" wrapText="1"/>
    </xf>
    <xf numFmtId="0" fontId="27" fillId="0" borderId="48" xfId="5" applyFont="1" applyBorder="1" applyAlignment="1">
      <alignment horizontal="left" vertical="center" wrapText="1"/>
    </xf>
    <xf numFmtId="9" fontId="0" fillId="0" borderId="0" xfId="2" applyFont="1" applyBorder="1" applyAlignment="1" applyProtection="1">
      <alignment horizontal="center" vertical="center" wrapText="1"/>
    </xf>
    <xf numFmtId="44" fontId="1" fillId="9" borderId="0" xfId="4" applyFont="1" applyFill="1" applyBorder="1" applyAlignment="1" applyProtection="1">
      <alignment horizontal="center" vertical="center" wrapText="1"/>
    </xf>
    <xf numFmtId="44" fontId="0" fillId="9" borderId="50" xfId="4" applyFont="1" applyFill="1" applyBorder="1" applyAlignment="1" applyProtection="1">
      <alignment vertical="center"/>
    </xf>
    <xf numFmtId="9" fontId="0" fillId="0" borderId="0" xfId="2" applyFont="1" applyBorder="1" applyAlignment="1" applyProtection="1">
      <alignment horizontal="center" vertical="center"/>
    </xf>
    <xf numFmtId="0" fontId="27" fillId="0" borderId="51" xfId="5" applyFont="1" applyBorder="1" applyAlignment="1">
      <alignment horizontal="left" vertical="center" wrapText="1"/>
    </xf>
    <xf numFmtId="9" fontId="0" fillId="0" borderId="17" xfId="2" applyFont="1" applyBorder="1" applyAlignment="1" applyProtection="1">
      <alignment horizontal="center" vertical="center" wrapText="1"/>
    </xf>
    <xf numFmtId="9" fontId="0" fillId="0" borderId="17" xfId="2" applyFont="1" applyBorder="1" applyAlignment="1" applyProtection="1">
      <alignment horizontal="center" vertical="center"/>
    </xf>
    <xf numFmtId="44" fontId="1" fillId="9" borderId="17" xfId="4" applyFont="1" applyFill="1" applyBorder="1" applyAlignment="1" applyProtection="1">
      <alignment horizontal="center" vertical="center" wrapText="1"/>
    </xf>
    <xf numFmtId="44" fontId="0" fillId="9" borderId="52" xfId="4" applyFont="1" applyFill="1" applyBorder="1" applyAlignment="1" applyProtection="1">
      <alignment vertical="center"/>
    </xf>
    <xf numFmtId="0" fontId="26" fillId="6" borderId="0" xfId="5" applyFill="1" applyAlignment="1">
      <alignment horizontal="left" vertical="center" wrapText="1"/>
    </xf>
    <xf numFmtId="0" fontId="26" fillId="6" borderId="0" xfId="5" applyFill="1" applyAlignment="1">
      <alignment horizontal="center" vertical="center" wrapText="1"/>
    </xf>
    <xf numFmtId="44" fontId="26" fillId="6" borderId="0" xfId="4" applyFont="1" applyFill="1" applyBorder="1" applyAlignment="1" applyProtection="1">
      <alignment horizontal="left" vertical="center"/>
    </xf>
    <xf numFmtId="0" fontId="33" fillId="6" borderId="0" xfId="5" applyFont="1" applyFill="1" applyAlignment="1">
      <alignment horizontal="left" vertical="center"/>
    </xf>
    <xf numFmtId="0" fontId="7" fillId="0" borderId="0" xfId="0" applyFont="1" applyAlignment="1">
      <alignment horizontal="center" vertical="center"/>
    </xf>
    <xf numFmtId="0" fontId="19" fillId="0" borderId="0" xfId="0" applyFont="1" applyAlignment="1">
      <alignment horizontal="center"/>
    </xf>
    <xf numFmtId="0" fontId="9" fillId="0" borderId="0" xfId="0" applyFont="1" applyAlignment="1">
      <alignment wrapText="1"/>
    </xf>
    <xf numFmtId="0" fontId="11" fillId="0" borderId="0" xfId="0" applyFont="1" applyAlignment="1">
      <alignment horizontal="center" vertical="center"/>
    </xf>
    <xf numFmtId="3" fontId="5" fillId="9" borderId="1" xfId="0" applyNumberFormat="1" applyFont="1" applyFill="1" applyBorder="1" applyAlignment="1">
      <alignment horizontal="center"/>
    </xf>
    <xf numFmtId="0" fontId="9" fillId="0" borderId="1" xfId="0" applyFont="1" applyBorder="1" applyAlignment="1">
      <alignment wrapText="1"/>
    </xf>
    <xf numFmtId="167" fontId="9" fillId="9" borderId="1" xfId="0" applyNumberFormat="1" applyFont="1" applyFill="1" applyBorder="1" applyAlignment="1">
      <alignment horizontal="center" vertical="center"/>
    </xf>
    <xf numFmtId="166" fontId="14" fillId="0" borderId="0" xfId="0" applyNumberFormat="1" applyFont="1" applyAlignment="1">
      <alignment vertical="top"/>
    </xf>
    <xf numFmtId="166" fontId="9" fillId="0" borderId="0" xfId="0" applyNumberFormat="1" applyFont="1" applyAlignment="1">
      <alignment vertical="top"/>
    </xf>
    <xf numFmtId="0" fontId="5" fillId="0" borderId="2" xfId="0" applyFont="1" applyBorder="1" applyAlignment="1">
      <alignment wrapText="1"/>
    </xf>
    <xf numFmtId="0" fontId="52" fillId="0" borderId="1" xfId="0" applyFont="1" applyBorder="1" applyAlignment="1">
      <alignment wrapText="1"/>
    </xf>
    <xf numFmtId="167" fontId="52" fillId="14" borderId="1" xfId="0" applyNumberFormat="1" applyFont="1" applyFill="1" applyBorder="1" applyAlignment="1">
      <alignment horizontal="center" vertical="center"/>
    </xf>
    <xf numFmtId="0" fontId="13" fillId="5" borderId="114" xfId="1" applyFont="1" applyFill="1" applyBorder="1" applyAlignment="1">
      <alignment horizontal="center"/>
    </xf>
    <xf numFmtId="0" fontId="13" fillId="5" borderId="16" xfId="1" applyFont="1" applyFill="1" applyBorder="1" applyAlignment="1">
      <alignment horizontal="center"/>
    </xf>
    <xf numFmtId="0" fontId="13" fillId="5" borderId="16" xfId="1" applyFont="1" applyFill="1" applyBorder="1" applyAlignment="1">
      <alignment horizontal="center" wrapText="1"/>
    </xf>
    <xf numFmtId="0" fontId="13" fillId="19" borderId="16" xfId="1" applyFont="1" applyFill="1" applyBorder="1" applyAlignment="1">
      <alignment horizontal="center" wrapText="1"/>
    </xf>
    <xf numFmtId="0" fontId="13" fillId="5" borderId="115" xfId="1" applyFont="1" applyFill="1" applyBorder="1" applyAlignment="1">
      <alignment horizontal="center" wrapText="1"/>
    </xf>
    <xf numFmtId="0" fontId="13" fillId="5" borderId="96" xfId="1" applyFont="1" applyFill="1" applyBorder="1" applyAlignment="1">
      <alignment horizontal="center"/>
    </xf>
    <xf numFmtId="0" fontId="13" fillId="5" borderId="100" xfId="1" applyFont="1" applyFill="1" applyBorder="1" applyAlignment="1">
      <alignment horizontal="center"/>
    </xf>
    <xf numFmtId="0" fontId="13" fillId="5" borderId="46" xfId="1" applyFont="1" applyFill="1" applyBorder="1" applyAlignment="1">
      <alignment horizontal="center"/>
    </xf>
    <xf numFmtId="6" fontId="12" fillId="9" borderId="54" xfId="1" applyNumberFormat="1" applyFont="1" applyFill="1" applyBorder="1"/>
    <xf numFmtId="6" fontId="12" fillId="9" borderId="63" xfId="1" applyNumberFormat="1" applyFont="1" applyFill="1" applyBorder="1"/>
    <xf numFmtId="6" fontId="12" fillId="14" borderId="75" xfId="1" applyNumberFormat="1" applyFont="1" applyFill="1" applyBorder="1"/>
    <xf numFmtId="6" fontId="12" fillId="14" borderId="77" xfId="1" applyNumberFormat="1" applyFont="1" applyFill="1" applyBorder="1"/>
    <xf numFmtId="6" fontId="12" fillId="9" borderId="55" xfId="1" applyNumberFormat="1" applyFont="1" applyFill="1" applyBorder="1"/>
    <xf numFmtId="6" fontId="12" fillId="9" borderId="39" xfId="1" applyNumberFormat="1" applyFont="1" applyFill="1" applyBorder="1"/>
    <xf numFmtId="6" fontId="12" fillId="9" borderId="69" xfId="1" applyNumberFormat="1" applyFont="1" applyFill="1" applyBorder="1"/>
    <xf numFmtId="6" fontId="12" fillId="17" borderId="53" xfId="1" applyNumberFormat="1" applyFont="1" applyFill="1" applyBorder="1"/>
    <xf numFmtId="6" fontId="12" fillId="17" borderId="65" xfId="1" applyNumberFormat="1" applyFont="1" applyFill="1" applyBorder="1"/>
    <xf numFmtId="6" fontId="12" fillId="18" borderId="113" xfId="1" applyNumberFormat="1" applyFont="1" applyFill="1" applyBorder="1"/>
    <xf numFmtId="6" fontId="12" fillId="18" borderId="88" xfId="1" applyNumberFormat="1" applyFont="1" applyFill="1" applyBorder="1"/>
    <xf numFmtId="6" fontId="12" fillId="14" borderId="37" xfId="1" applyNumberFormat="1" applyFont="1" applyFill="1" applyBorder="1"/>
    <xf numFmtId="6" fontId="12" fillId="14" borderId="63" xfId="1" applyNumberFormat="1" applyFont="1" applyFill="1" applyBorder="1"/>
    <xf numFmtId="8" fontId="15" fillId="17" borderId="53" xfId="1" applyNumberFormat="1" applyFont="1" applyFill="1" applyBorder="1"/>
    <xf numFmtId="170" fontId="15" fillId="14" borderId="37" xfId="1" applyNumberFormat="1" applyFont="1" applyFill="1" applyBorder="1"/>
    <xf numFmtId="8" fontId="15" fillId="17" borderId="77" xfId="1" applyNumberFormat="1" applyFont="1" applyFill="1" applyBorder="1"/>
    <xf numFmtId="170" fontId="15" fillId="14" borderId="63" xfId="1" applyNumberFormat="1" applyFont="1" applyFill="1" applyBorder="1"/>
    <xf numFmtId="170" fontId="15" fillId="14" borderId="77" xfId="1" applyNumberFormat="1" applyFont="1" applyFill="1" applyBorder="1"/>
    <xf numFmtId="38" fontId="15" fillId="17" borderId="53" xfId="1" applyNumberFormat="1" applyFont="1" applyFill="1" applyBorder="1"/>
    <xf numFmtId="1" fontId="15" fillId="14" borderId="37" xfId="1" applyNumberFormat="1" applyFont="1" applyFill="1" applyBorder="1"/>
    <xf numFmtId="38" fontId="15" fillId="17" borderId="77" xfId="1" applyNumberFormat="1" applyFont="1" applyFill="1" applyBorder="1"/>
    <xf numFmtId="1" fontId="15" fillId="14" borderId="63" xfId="1" applyNumberFormat="1" applyFont="1" applyFill="1" applyBorder="1"/>
    <xf numFmtId="1" fontId="15" fillId="14" borderId="77" xfId="1" applyNumberFormat="1" applyFont="1" applyFill="1" applyBorder="1"/>
    <xf numFmtId="6" fontId="12" fillId="17" borderId="55" xfId="1" applyNumberFormat="1" applyFont="1" applyFill="1" applyBorder="1"/>
    <xf numFmtId="6" fontId="12" fillId="17" borderId="56" xfId="1" applyNumberFormat="1" applyFont="1" applyFill="1" applyBorder="1"/>
    <xf numFmtId="6" fontId="12" fillId="14" borderId="43" xfId="1" applyNumberFormat="1" applyFont="1" applyFill="1" applyBorder="1"/>
    <xf numFmtId="6" fontId="12" fillId="14" borderId="82" xfId="1" applyNumberFormat="1" applyFont="1" applyFill="1" applyBorder="1"/>
    <xf numFmtId="6" fontId="12" fillId="9" borderId="26" xfId="1" applyNumberFormat="1" applyFont="1" applyFill="1" applyBorder="1"/>
    <xf numFmtId="6" fontId="12" fillId="9" borderId="65" xfId="1" applyNumberFormat="1" applyFont="1" applyFill="1" applyBorder="1"/>
    <xf numFmtId="6" fontId="12" fillId="14" borderId="38" xfId="1" applyNumberFormat="1" applyFont="1" applyFill="1" applyBorder="1"/>
    <xf numFmtId="6" fontId="12" fillId="14" borderId="71" xfId="1" applyNumberFormat="1" applyFont="1" applyFill="1" applyBorder="1"/>
    <xf numFmtId="0" fontId="12" fillId="17" borderId="56" xfId="1" applyFont="1" applyFill="1" applyBorder="1"/>
    <xf numFmtId="0" fontId="12" fillId="17" borderId="71" xfId="1" applyFont="1" applyFill="1" applyBorder="1"/>
    <xf numFmtId="6" fontId="12" fillId="9" borderId="51" xfId="1" applyNumberFormat="1" applyFont="1" applyFill="1" applyBorder="1"/>
    <xf numFmtId="6" fontId="12" fillId="17" borderId="108" xfId="1" applyNumberFormat="1" applyFont="1" applyFill="1" applyBorder="1"/>
    <xf numFmtId="6" fontId="12" fillId="14" borderId="18" xfId="1" applyNumberFormat="1" applyFont="1" applyFill="1" applyBorder="1"/>
    <xf numFmtId="6" fontId="12" fillId="9" borderId="52" xfId="1" applyNumberFormat="1" applyFont="1" applyFill="1" applyBorder="1"/>
    <xf numFmtId="6" fontId="12" fillId="14" borderId="48" xfId="1" applyNumberFormat="1" applyFont="1" applyFill="1" applyBorder="1"/>
    <xf numFmtId="0" fontId="8" fillId="2" borderId="0" xfId="0" applyFont="1" applyFill="1"/>
    <xf numFmtId="1" fontId="5" fillId="0" borderId="0" xfId="0" applyNumberFormat="1" applyFont="1" applyAlignment="1">
      <alignment horizontal="centerContinuous" vertical="center"/>
    </xf>
    <xf numFmtId="0" fontId="19" fillId="0" borderId="0" xfId="0" applyFont="1" applyAlignment="1">
      <alignment vertical="top"/>
    </xf>
    <xf numFmtId="0" fontId="9" fillId="0" borderId="0" xfId="0" applyFont="1" applyAlignment="1">
      <alignment horizontal="center"/>
    </xf>
    <xf numFmtId="1" fontId="14" fillId="0" borderId="0" xfId="0" applyNumberFormat="1" applyFont="1" applyAlignment="1">
      <alignment horizontal="center" vertical="center"/>
    </xf>
    <xf numFmtId="0" fontId="7" fillId="0" borderId="0" xfId="0" applyFont="1" applyAlignment="1">
      <alignment horizontal="left" wrapText="1"/>
    </xf>
    <xf numFmtId="0" fontId="40" fillId="0" borderId="0" xfId="0" applyFont="1"/>
    <xf numFmtId="0" fontId="40" fillId="0" borderId="0" xfId="0" applyFont="1" applyAlignment="1">
      <alignment horizontal="left" wrapText="1"/>
    </xf>
    <xf numFmtId="167" fontId="5" fillId="0" borderId="0" xfId="0" applyNumberFormat="1" applyFont="1" applyAlignment="1">
      <alignment horizontal="center" vertical="center"/>
    </xf>
    <xf numFmtId="0" fontId="5" fillId="0" borderId="15" xfId="0" applyFont="1" applyBorder="1"/>
    <xf numFmtId="1" fontId="8" fillId="0" borderId="0" xfId="0" applyNumberFormat="1" applyFont="1" applyAlignment="1">
      <alignment horizontal="center" vertical="center"/>
    </xf>
    <xf numFmtId="0" fontId="9" fillId="0" borderId="1" xfId="0" applyFont="1" applyBorder="1"/>
    <xf numFmtId="168" fontId="9" fillId="0" borderId="0" xfId="0" applyNumberFormat="1" applyFont="1" applyAlignment="1">
      <alignment horizontal="left" vertical="top"/>
    </xf>
    <xf numFmtId="167" fontId="7" fillId="0" borderId="0" xfId="0" applyNumberFormat="1" applyFont="1" applyAlignment="1">
      <alignment horizontal="center" vertical="center"/>
    </xf>
    <xf numFmtId="0" fontId="14" fillId="0" borderId="0" xfId="0" applyFont="1" applyAlignment="1">
      <alignment horizontal="center" vertical="center"/>
    </xf>
    <xf numFmtId="172" fontId="9" fillId="6" borderId="0" xfId="0" applyNumberFormat="1" applyFont="1" applyFill="1" applyAlignment="1">
      <alignment vertical="top"/>
    </xf>
    <xf numFmtId="1" fontId="8" fillId="0" borderId="0" xfId="0" applyNumberFormat="1" applyFont="1" applyAlignment="1">
      <alignment horizontal="left" vertical="top"/>
    </xf>
    <xf numFmtId="0" fontId="8" fillId="0" borderId="0" xfId="0" applyFont="1" applyAlignment="1">
      <alignment horizontal="left" vertical="top"/>
    </xf>
    <xf numFmtId="167" fontId="52" fillId="9" borderId="1" xfId="0" applyNumberFormat="1" applyFont="1" applyFill="1" applyBorder="1" applyAlignment="1">
      <alignment horizontal="center" vertical="center"/>
    </xf>
    <xf numFmtId="6" fontId="12" fillId="9" borderId="67" xfId="1" applyNumberFormat="1" applyFont="1" applyFill="1" applyBorder="1"/>
    <xf numFmtId="0" fontId="13" fillId="5" borderId="116" xfId="1" applyFont="1" applyFill="1" applyBorder="1" applyAlignment="1">
      <alignment horizontal="center"/>
    </xf>
    <xf numFmtId="0" fontId="13" fillId="19" borderId="8" xfId="1" applyFont="1" applyFill="1" applyBorder="1" applyAlignment="1">
      <alignment horizontal="center" wrapText="1"/>
    </xf>
    <xf numFmtId="6" fontId="12" fillId="9" borderId="23" xfId="1" applyNumberFormat="1" applyFont="1" applyFill="1" applyBorder="1"/>
    <xf numFmtId="6" fontId="12" fillId="17" borderId="19" xfId="1" applyNumberFormat="1" applyFont="1" applyFill="1" applyBorder="1"/>
    <xf numFmtId="6" fontId="12" fillId="18" borderId="117" xfId="1" applyNumberFormat="1" applyFont="1" applyFill="1" applyBorder="1"/>
    <xf numFmtId="6" fontId="12" fillId="14" borderId="26" xfId="1" applyNumberFormat="1" applyFont="1" applyFill="1" applyBorder="1"/>
    <xf numFmtId="170" fontId="15" fillId="14" borderId="26" xfId="1" applyNumberFormat="1" applyFont="1" applyFill="1" applyBorder="1"/>
    <xf numFmtId="1" fontId="15" fillId="14" borderId="26" xfId="1" applyNumberFormat="1" applyFont="1" applyFill="1" applyBorder="1"/>
    <xf numFmtId="6" fontId="12" fillId="14" borderId="25" xfId="1" applyNumberFormat="1" applyFont="1" applyFill="1" applyBorder="1"/>
    <xf numFmtId="6" fontId="12" fillId="9" borderId="19" xfId="1" applyNumberFormat="1" applyFont="1" applyFill="1" applyBorder="1"/>
    <xf numFmtId="0" fontId="13" fillId="5" borderId="118" xfId="1" applyFont="1" applyFill="1" applyBorder="1" applyAlignment="1">
      <alignment horizontal="center" wrapText="1"/>
    </xf>
    <xf numFmtId="6" fontId="12" fillId="18" borderId="119" xfId="1" applyNumberFormat="1" applyFont="1" applyFill="1" applyBorder="1"/>
    <xf numFmtId="6" fontId="12" fillId="17" borderId="70" xfId="1" applyNumberFormat="1" applyFont="1" applyFill="1" applyBorder="1"/>
    <xf numFmtId="8" fontId="15" fillId="17" borderId="66" xfId="1" applyNumberFormat="1" applyFont="1" applyFill="1" applyBorder="1"/>
    <xf numFmtId="38" fontId="15" fillId="17" borderId="66" xfId="1" applyNumberFormat="1" applyFont="1" applyFill="1" applyBorder="1"/>
    <xf numFmtId="6" fontId="12" fillId="17" borderId="99" xfId="1" applyNumberFormat="1" applyFont="1" applyFill="1" applyBorder="1"/>
    <xf numFmtId="6" fontId="12" fillId="17" borderId="68" xfId="1" applyNumberFormat="1" applyFont="1" applyFill="1" applyBorder="1"/>
    <xf numFmtId="0" fontId="0" fillId="2" borderId="0" xfId="0" applyFill="1" applyAlignment="1">
      <alignment horizontal="left"/>
    </xf>
    <xf numFmtId="0" fontId="37" fillId="2" borderId="0" xfId="0" applyFont="1" applyFill="1"/>
    <xf numFmtId="0" fontId="0" fillId="2" borderId="0" xfId="0" applyFill="1"/>
    <xf numFmtId="0" fontId="31" fillId="0" borderId="0" xfId="0" applyFont="1" applyAlignment="1">
      <alignment horizontal="centerContinuous" vertical="center"/>
    </xf>
    <xf numFmtId="0" fontId="0" fillId="0" borderId="0" xfId="0" applyAlignment="1">
      <alignment horizontal="centerContinuous"/>
    </xf>
    <xf numFmtId="1" fontId="0" fillId="0" borderId="0" xfId="0" applyNumberFormat="1" applyAlignment="1">
      <alignment horizontal="centerContinuous" vertical="center"/>
    </xf>
    <xf numFmtId="0" fontId="31" fillId="0" borderId="0" xfId="0" applyFont="1"/>
    <xf numFmtId="1" fontId="0" fillId="0" borderId="0" xfId="0" applyNumberFormat="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1" fontId="24" fillId="0" borderId="0" xfId="0" applyNumberFormat="1" applyFont="1" applyAlignment="1">
      <alignment horizontal="center" vertical="center"/>
    </xf>
    <xf numFmtId="0" fontId="24" fillId="0" borderId="0" xfId="0" applyFont="1" applyAlignment="1">
      <alignment horizontal="center"/>
    </xf>
    <xf numFmtId="1" fontId="51" fillId="0" borderId="0" xfId="0" applyNumberFormat="1" applyFont="1" applyAlignment="1">
      <alignment horizontal="center" vertical="center"/>
    </xf>
    <xf numFmtId="0" fontId="24" fillId="0" borderId="4" xfId="0" applyFont="1" applyBorder="1" applyAlignment="1">
      <alignment horizontal="left" vertical="center"/>
    </xf>
    <xf numFmtId="0" fontId="0" fillId="9" borderId="1" xfId="0" applyFill="1" applyBorder="1" applyAlignment="1">
      <alignment horizontal="center" vertical="center"/>
    </xf>
    <xf numFmtId="0" fontId="38" fillId="0" borderId="0" xfId="0" applyFont="1" applyAlignment="1">
      <alignment horizontal="center" vertical="center"/>
    </xf>
    <xf numFmtId="0" fontId="39" fillId="0" borderId="0" xfId="0" applyFont="1" applyAlignment="1">
      <alignment horizontal="center"/>
    </xf>
    <xf numFmtId="0" fontId="0" fillId="0" borderId="10" xfId="0" applyBorder="1"/>
    <xf numFmtId="3" fontId="0" fillId="9" borderId="91" xfId="0" applyNumberFormat="1" applyFill="1" applyBorder="1" applyAlignment="1">
      <alignment horizontal="center"/>
    </xf>
    <xf numFmtId="0" fontId="0" fillId="0" borderId="27" xfId="0" applyBorder="1"/>
    <xf numFmtId="1" fontId="0" fillId="9" borderId="91" xfId="0" applyNumberFormat="1" applyFill="1" applyBorder="1" applyAlignment="1">
      <alignment horizontal="center" vertical="center"/>
    </xf>
    <xf numFmtId="3" fontId="38" fillId="0" borderId="0" xfId="0" applyNumberFormat="1" applyFont="1" applyAlignment="1">
      <alignment horizontal="center" vertical="center"/>
    </xf>
    <xf numFmtId="0" fontId="24" fillId="0" borderId="0" xfId="0" applyFont="1" applyAlignment="1">
      <alignment horizontal="center" vertical="center"/>
    </xf>
    <xf numFmtId="0" fontId="0" fillId="0" borderId="12" xfId="0" applyBorder="1"/>
    <xf numFmtId="0" fontId="24" fillId="0" borderId="1" xfId="0" applyFont="1" applyBorder="1"/>
    <xf numFmtId="167" fontId="0" fillId="9" borderId="1" xfId="0" applyNumberFormat="1" applyFill="1" applyBorder="1" applyAlignment="1">
      <alignment horizontal="center" vertical="center"/>
    </xf>
    <xf numFmtId="0" fontId="0" fillId="0" borderId="1" xfId="0" applyBorder="1"/>
    <xf numFmtId="166" fontId="24" fillId="0" borderId="0" xfId="0" applyNumberFormat="1" applyFont="1" applyAlignment="1">
      <alignment vertical="center"/>
    </xf>
    <xf numFmtId="166" fontId="0" fillId="0" borderId="0" xfId="0" applyNumberFormat="1" applyAlignment="1">
      <alignment vertical="center"/>
    </xf>
    <xf numFmtId="0" fontId="45" fillId="0" borderId="0" xfId="0" applyFont="1"/>
    <xf numFmtId="0" fontId="53" fillId="0" borderId="16" xfId="0" applyFont="1" applyBorder="1"/>
    <xf numFmtId="167" fontId="53" fillId="9" borderId="1" xfId="0" applyNumberFormat="1" applyFont="1" applyFill="1" applyBorder="1" applyAlignment="1">
      <alignment horizontal="center" vertical="center"/>
    </xf>
    <xf numFmtId="164" fontId="0" fillId="0" borderId="0" xfId="0" applyNumberFormat="1" applyAlignment="1">
      <alignment horizontal="center" vertical="center"/>
    </xf>
    <xf numFmtId="0" fontId="13" fillId="19" borderId="120" xfId="1" applyFont="1" applyFill="1" applyBorder="1" applyAlignment="1">
      <alignment horizontal="center"/>
    </xf>
    <xf numFmtId="0" fontId="13" fillId="19" borderId="121" xfId="1" applyFont="1" applyFill="1" applyBorder="1" applyAlignment="1">
      <alignment horizontal="center"/>
    </xf>
    <xf numFmtId="6" fontId="12" fillId="17" borderId="52" xfId="1" applyNumberFormat="1" applyFont="1" applyFill="1" applyBorder="1"/>
    <xf numFmtId="6" fontId="12" fillId="17" borderId="122" xfId="1" applyNumberFormat="1" applyFont="1" applyFill="1" applyBorder="1"/>
    <xf numFmtId="166" fontId="14" fillId="0" borderId="0" xfId="0" applyNumberFormat="1" applyFont="1" applyAlignment="1">
      <alignment vertical="top" wrapText="1"/>
    </xf>
    <xf numFmtId="1" fontId="7" fillId="0" borderId="0" xfId="0" applyNumberFormat="1" applyFont="1" applyAlignment="1">
      <alignment horizontal="left" vertical="center"/>
    </xf>
    <xf numFmtId="0" fontId="5" fillId="3" borderId="1" xfId="0" applyFont="1" applyFill="1" applyBorder="1" applyAlignment="1" applyProtection="1">
      <alignment horizontal="center"/>
      <protection locked="0"/>
    </xf>
    <xf numFmtId="166" fontId="42" fillId="0" borderId="0" xfId="0" applyNumberFormat="1" applyFont="1" applyAlignment="1">
      <alignment vertical="top"/>
    </xf>
    <xf numFmtId="166" fontId="38" fillId="0" borderId="0" xfId="0" applyNumberFormat="1" applyFont="1" applyAlignment="1">
      <alignment vertical="top" wrapText="1"/>
    </xf>
    <xf numFmtId="1" fontId="0" fillId="0" borderId="0" xfId="0" applyNumberFormat="1" applyAlignment="1">
      <alignment vertical="top"/>
    </xf>
    <xf numFmtId="166" fontId="42" fillId="0" borderId="7" xfId="0" applyNumberFormat="1" applyFont="1" applyBorder="1" applyAlignment="1">
      <alignment vertical="top"/>
    </xf>
    <xf numFmtId="166" fontId="24" fillId="0" borderId="7" xfId="0" applyNumberFormat="1" applyFont="1" applyBorder="1" applyAlignment="1">
      <alignment vertical="top"/>
    </xf>
    <xf numFmtId="166" fontId="24" fillId="0" borderId="0" xfId="0" applyNumberFormat="1" applyFont="1" applyAlignment="1">
      <alignment vertical="top"/>
    </xf>
    <xf numFmtId="184" fontId="18" fillId="4" borderId="1" xfId="0" applyNumberFormat="1" applyFont="1" applyFill="1" applyBorder="1" applyAlignment="1">
      <alignment horizontal="center" vertical="center"/>
    </xf>
    <xf numFmtId="184" fontId="20" fillId="4" borderId="1" xfId="0" applyNumberFormat="1" applyFont="1" applyFill="1" applyBorder="1" applyAlignment="1">
      <alignment horizontal="center" vertical="center"/>
    </xf>
    <xf numFmtId="186" fontId="45" fillId="3" borderId="37" xfId="1" applyNumberFormat="1" applyFont="1" applyFill="1" applyBorder="1" applyAlignment="1" applyProtection="1">
      <alignment horizontal="center" vertical="center"/>
      <protection locked="0"/>
    </xf>
    <xf numFmtId="186" fontId="45" fillId="3" borderId="38" xfId="1" applyNumberFormat="1" applyFont="1" applyFill="1" applyBorder="1" applyAlignment="1" applyProtection="1">
      <alignment horizontal="center" vertical="center"/>
      <protection locked="0"/>
    </xf>
    <xf numFmtId="186" fontId="45" fillId="3" borderId="42" xfId="1" applyNumberFormat="1" applyFont="1" applyFill="1" applyBorder="1" applyAlignment="1" applyProtection="1">
      <alignment horizontal="center" vertical="center"/>
      <protection locked="0"/>
    </xf>
    <xf numFmtId="186" fontId="48" fillId="18" borderId="38" xfId="1" applyNumberFormat="1" applyFont="1" applyFill="1" applyBorder="1" applyAlignment="1">
      <alignment horizontal="center" vertical="center" wrapText="1"/>
    </xf>
    <xf numFmtId="186" fontId="45" fillId="9" borderId="15" xfId="1" applyNumberFormat="1" applyFont="1" applyFill="1" applyBorder="1" applyAlignment="1">
      <alignment horizontal="center" vertical="center"/>
    </xf>
    <xf numFmtId="186" fontId="45" fillId="9" borderId="37" xfId="1" applyNumberFormat="1" applyFont="1" applyFill="1" applyBorder="1" applyAlignment="1">
      <alignment horizontal="center" vertical="center"/>
    </xf>
    <xf numFmtId="186" fontId="45" fillId="9" borderId="38" xfId="1" applyNumberFormat="1" applyFont="1" applyFill="1" applyBorder="1" applyAlignment="1">
      <alignment horizontal="center" vertical="center"/>
    </xf>
    <xf numFmtId="186" fontId="47" fillId="18" borderId="38" xfId="1" applyNumberFormat="1" applyFont="1" applyFill="1" applyBorder="1" applyAlignment="1">
      <alignment horizontal="center" vertical="center" wrapText="1"/>
    </xf>
    <xf numFmtId="186" fontId="45" fillId="3" borderId="42" xfId="1" applyNumberFormat="1" applyFont="1" applyFill="1" applyBorder="1" applyAlignment="1" applyProtection="1">
      <alignment horizontal="center" vertical="center" wrapText="1"/>
      <protection locked="0"/>
    </xf>
    <xf numFmtId="0" fontId="58" fillId="0" borderId="0" xfId="0" applyFont="1" applyAlignment="1">
      <alignment horizontal="centerContinuous" vertical="center"/>
    </xf>
    <xf numFmtId="167" fontId="9" fillId="9" borderId="1" xfId="0" applyNumberFormat="1" applyFont="1" applyFill="1" applyBorder="1" applyAlignment="1">
      <alignment horizontal="center" vertical="top" wrapText="1"/>
    </xf>
    <xf numFmtId="171" fontId="5" fillId="3" borderId="1" xfId="2" applyNumberFormat="1" applyFont="1" applyFill="1" applyBorder="1" applyAlignment="1" applyProtection="1">
      <alignment horizontal="center"/>
      <protection locked="0"/>
    </xf>
    <xf numFmtId="1" fontId="8" fillId="0" borderId="123" xfId="0" applyNumberFormat="1" applyFont="1" applyBorder="1"/>
    <xf numFmtId="6" fontId="12" fillId="17" borderId="125" xfId="1" applyNumberFormat="1" applyFont="1" applyFill="1" applyBorder="1"/>
    <xf numFmtId="0" fontId="12" fillId="17" borderId="42" xfId="1" applyFont="1" applyFill="1" applyBorder="1"/>
    <xf numFmtId="6" fontId="12" fillId="9" borderId="124" xfId="1" applyNumberFormat="1" applyFont="1" applyFill="1" applyBorder="1"/>
    <xf numFmtId="6" fontId="12" fillId="9" borderId="42" xfId="1" applyNumberFormat="1" applyFont="1" applyFill="1" applyBorder="1"/>
    <xf numFmtId="6" fontId="12" fillId="17" borderId="37" xfId="1" applyNumberFormat="1" applyFont="1" applyFill="1" applyBorder="1"/>
    <xf numFmtId="0" fontId="9" fillId="0" borderId="0" xfId="0" applyFont="1" applyAlignment="1">
      <alignment horizontal="left" wrapText="1"/>
    </xf>
    <xf numFmtId="0" fontId="5" fillId="0" borderId="32" xfId="0" applyFont="1" applyBorder="1"/>
    <xf numFmtId="6" fontId="13" fillId="9" borderId="124" xfId="1" applyNumberFormat="1" applyFont="1" applyFill="1" applyBorder="1"/>
    <xf numFmtId="187" fontId="60" fillId="0" borderId="0" xfId="0" applyNumberFormat="1" applyFont="1"/>
    <xf numFmtId="0" fontId="12" fillId="17" borderId="21" xfId="1" applyFont="1" applyFill="1" applyBorder="1"/>
    <xf numFmtId="6" fontId="12" fillId="9" borderId="21" xfId="1" applyNumberFormat="1" applyFont="1" applyFill="1" applyBorder="1"/>
    <xf numFmtId="6" fontId="12" fillId="17" borderId="26" xfId="1" applyNumberFormat="1" applyFont="1" applyFill="1" applyBorder="1"/>
    <xf numFmtId="0" fontId="12" fillId="3" borderId="1" xfId="0" applyFont="1" applyFill="1" applyBorder="1" applyAlignment="1" applyProtection="1">
      <alignment horizontal="center"/>
      <protection locked="0"/>
    </xf>
    <xf numFmtId="0" fontId="12" fillId="9" borderId="2" xfId="0" applyFont="1" applyFill="1" applyBorder="1" applyAlignment="1">
      <alignment horizontal="center" wrapText="1"/>
    </xf>
    <xf numFmtId="0" fontId="12" fillId="9" borderId="2" xfId="0" applyFont="1" applyFill="1" applyBorder="1" applyAlignment="1">
      <alignment horizontal="center"/>
    </xf>
    <xf numFmtId="0" fontId="12" fillId="9" borderId="15" xfId="0" applyFont="1" applyFill="1" applyBorder="1" applyAlignment="1">
      <alignment horizontal="center" wrapText="1"/>
    </xf>
    <xf numFmtId="0" fontId="12" fillId="9" borderId="15" xfId="0" applyFont="1" applyFill="1" applyBorder="1" applyAlignment="1">
      <alignment horizontal="center"/>
    </xf>
    <xf numFmtId="0" fontId="12" fillId="9" borderId="16" xfId="0" applyFont="1" applyFill="1" applyBorder="1" applyAlignment="1">
      <alignment horizontal="center" wrapText="1"/>
    </xf>
    <xf numFmtId="0" fontId="12" fillId="9" borderId="16" xfId="0" applyFont="1" applyFill="1" applyBorder="1" applyAlignment="1">
      <alignment horizontal="center"/>
    </xf>
    <xf numFmtId="0" fontId="12" fillId="9" borderId="1" xfId="0" applyFont="1" applyFill="1" applyBorder="1" applyAlignment="1">
      <alignment horizontal="center" vertical="center" wrapText="1"/>
    </xf>
    <xf numFmtId="0" fontId="9" fillId="0" borderId="0" xfId="0" applyFont="1" applyAlignment="1">
      <alignment horizontal="left" vertical="center" wrapText="1"/>
    </xf>
    <xf numFmtId="184" fontId="5" fillId="3" borderId="1" xfId="0" applyNumberFormat="1" applyFont="1" applyFill="1" applyBorder="1" applyAlignment="1" applyProtection="1">
      <alignment horizontal="center" vertical="center"/>
      <protection locked="0"/>
    </xf>
    <xf numFmtId="167" fontId="5" fillId="3" borderId="6" xfId="0" applyNumberFormat="1" applyFont="1" applyFill="1" applyBorder="1" applyAlignment="1" applyProtection="1">
      <alignment horizontal="center" vertical="center"/>
      <protection locked="0"/>
    </xf>
    <xf numFmtId="0" fontId="7" fillId="0" borderId="1" xfId="0" applyFont="1" applyBorder="1"/>
    <xf numFmtId="167" fontId="7" fillId="9" borderId="1" xfId="0" applyNumberFormat="1" applyFont="1" applyFill="1" applyBorder="1" applyAlignment="1">
      <alignment horizontal="center" vertical="center"/>
    </xf>
    <xf numFmtId="0" fontId="5" fillId="3" borderId="18" xfId="0" applyFont="1" applyFill="1" applyBorder="1" applyAlignment="1" applyProtection="1">
      <alignment vertical="center"/>
      <protection locked="0"/>
    </xf>
    <xf numFmtId="6" fontId="12" fillId="3" borderId="43" xfId="1" applyNumberFormat="1" applyFont="1" applyFill="1" applyBorder="1"/>
    <xf numFmtId="0" fontId="5" fillId="6" borderId="0" xfId="0" applyFont="1" applyFill="1" applyAlignment="1">
      <alignment horizontal="left"/>
    </xf>
    <xf numFmtId="0" fontId="6" fillId="6" borderId="0" xfId="0" applyFont="1" applyFill="1" applyAlignment="1">
      <alignment wrapText="1"/>
    </xf>
    <xf numFmtId="0" fontId="6" fillId="6" borderId="0" xfId="0" applyFont="1" applyFill="1"/>
    <xf numFmtId="0" fontId="14" fillId="0" borderId="0" xfId="0" applyFont="1"/>
    <xf numFmtId="0" fontId="31" fillId="0" borderId="0" xfId="0" applyFont="1" applyAlignment="1">
      <alignment vertical="top"/>
    </xf>
    <xf numFmtId="0" fontId="7" fillId="0" borderId="0" xfId="0" applyFont="1" applyAlignment="1">
      <alignment vertical="top"/>
    </xf>
    <xf numFmtId="0" fontId="0" fillId="0" borderId="0" xfId="0" applyAlignment="1">
      <alignment vertical="top"/>
    </xf>
    <xf numFmtId="0" fontId="5" fillId="6" borderId="0" xfId="0" applyFont="1" applyFill="1" applyAlignment="1">
      <alignment horizontal="right" vertical="center"/>
    </xf>
    <xf numFmtId="166" fontId="63" fillId="0" borderId="7" xfId="0" applyNumberFormat="1" applyFont="1" applyBorder="1" applyAlignment="1">
      <alignment vertical="center"/>
    </xf>
    <xf numFmtId="166" fontId="63" fillId="0" borderId="0" xfId="0" applyNumberFormat="1" applyFont="1" applyAlignment="1">
      <alignment vertical="center"/>
    </xf>
    <xf numFmtId="166" fontId="15" fillId="0" borderId="32" xfId="0" applyNumberFormat="1" applyFont="1" applyBorder="1" applyAlignment="1">
      <alignment horizontal="left" vertical="center" indent="1"/>
    </xf>
    <xf numFmtId="1" fontId="45" fillId="0" borderId="0" xfId="0" applyNumberFormat="1" applyFont="1" applyAlignment="1">
      <alignment horizontal="left" vertical="top"/>
    </xf>
    <xf numFmtId="1" fontId="12" fillId="0" borderId="0" xfId="0" applyNumberFormat="1" applyFont="1" applyAlignment="1">
      <alignment horizontal="left" vertical="top"/>
    </xf>
    <xf numFmtId="0" fontId="47" fillId="0" borderId="0" xfId="0" applyFont="1" applyAlignment="1">
      <alignment horizontal="left" vertical="top" wrapText="1"/>
    </xf>
    <xf numFmtId="0" fontId="63" fillId="0" borderId="0" xfId="0" applyFont="1" applyAlignment="1">
      <alignment horizontal="left" vertical="center"/>
    </xf>
    <xf numFmtId="1" fontId="45" fillId="0" borderId="0" xfId="0" applyNumberFormat="1" applyFont="1" applyAlignment="1">
      <alignment horizontal="left"/>
    </xf>
    <xf numFmtId="1" fontId="45" fillId="0" borderId="0" xfId="0" applyNumberFormat="1" applyFont="1" applyAlignment="1">
      <alignment horizontal="left" vertical="center"/>
    </xf>
    <xf numFmtId="169" fontId="15" fillId="0" borderId="0" xfId="0" applyNumberFormat="1" applyFont="1" applyAlignment="1">
      <alignment horizontal="left" vertical="center" indent="1"/>
    </xf>
    <xf numFmtId="166" fontId="45" fillId="0" borderId="7" xfId="0" applyNumberFormat="1" applyFont="1" applyBorder="1" applyAlignment="1">
      <alignment vertical="center"/>
    </xf>
    <xf numFmtId="166" fontId="45" fillId="0" borderId="0" xfId="0" applyNumberFormat="1" applyFont="1" applyAlignment="1">
      <alignment vertical="center"/>
    </xf>
    <xf numFmtId="1" fontId="45" fillId="0" borderId="0" xfId="0" applyNumberFormat="1" applyFont="1"/>
    <xf numFmtId="0" fontId="63" fillId="0" borderId="0" xfId="0" applyFont="1" applyAlignment="1">
      <alignment horizontal="center" vertical="center"/>
    </xf>
    <xf numFmtId="0" fontId="22" fillId="0" borderId="0" xfId="0" applyFont="1" applyAlignment="1">
      <alignment horizontal="left" wrapText="1"/>
    </xf>
    <xf numFmtId="0" fontId="3" fillId="0" borderId="0" xfId="3" applyAlignment="1">
      <alignment horizontal="left"/>
    </xf>
    <xf numFmtId="0" fontId="5" fillId="15" borderId="12" xfId="0" applyFont="1" applyFill="1" applyBorder="1" applyAlignment="1">
      <alignment vertical="center" wrapText="1"/>
    </xf>
    <xf numFmtId="0" fontId="5" fillId="15" borderId="13" xfId="0" applyFont="1" applyFill="1" applyBorder="1" applyAlignment="1">
      <alignment vertical="center" wrapText="1"/>
    </xf>
    <xf numFmtId="0" fontId="5" fillId="15" borderId="3" xfId="0" applyFont="1" applyFill="1" applyBorder="1" applyAlignment="1">
      <alignment vertical="center" wrapText="1"/>
    </xf>
    <xf numFmtId="0" fontId="5" fillId="0" borderId="28" xfId="0" applyFont="1" applyBorder="1" applyAlignment="1">
      <alignment vertical="top" wrapText="1"/>
    </xf>
    <xf numFmtId="0" fontId="5" fillId="0" borderId="0" xfId="0" applyFont="1" applyAlignment="1">
      <alignment vertical="top" wrapText="1"/>
    </xf>
    <xf numFmtId="0" fontId="5" fillId="7" borderId="12" xfId="0" applyFont="1" applyFill="1" applyBorder="1" applyAlignment="1">
      <alignment vertical="center" wrapText="1"/>
    </xf>
    <xf numFmtId="0" fontId="5" fillId="7" borderId="13" xfId="0" applyFont="1" applyFill="1" applyBorder="1" applyAlignment="1">
      <alignment vertical="center" wrapText="1"/>
    </xf>
    <xf numFmtId="0" fontId="5" fillId="7" borderId="3" xfId="0" applyFont="1" applyFill="1" applyBorder="1" applyAlignment="1">
      <alignment vertical="center" wrapText="1"/>
    </xf>
    <xf numFmtId="0" fontId="5" fillId="4" borderId="12" xfId="0" applyFont="1" applyFill="1" applyBorder="1" applyAlignment="1">
      <alignment wrapText="1"/>
    </xf>
    <xf numFmtId="0" fontId="5" fillId="4" borderId="13" xfId="0" applyFont="1" applyFill="1" applyBorder="1" applyAlignment="1">
      <alignment wrapText="1"/>
    </xf>
    <xf numFmtId="0" fontId="5" fillId="4" borderId="3" xfId="0" applyFont="1" applyFill="1" applyBorder="1" applyAlignment="1">
      <alignment wrapText="1"/>
    </xf>
    <xf numFmtId="0" fontId="44" fillId="0" borderId="0" xfId="3" applyFont="1" applyBorder="1" applyAlignment="1">
      <alignment wrapText="1"/>
    </xf>
    <xf numFmtId="0" fontId="5" fillId="0" borderId="0" xfId="0" applyFont="1" applyAlignment="1">
      <alignment wrapText="1"/>
    </xf>
    <xf numFmtId="0" fontId="5" fillId="0" borderId="0" xfId="0" applyFont="1" applyAlignment="1">
      <alignment vertical="center" wrapText="1"/>
    </xf>
    <xf numFmtId="0" fontId="18" fillId="0" borderId="0" xfId="0" applyFont="1" applyAlignment="1">
      <alignment horizontal="left" vertical="top" wrapText="1"/>
    </xf>
    <xf numFmtId="6" fontId="57" fillId="9" borderId="51" xfId="1" applyNumberFormat="1" applyFont="1" applyFill="1" applyBorder="1" applyAlignment="1">
      <alignment horizontal="center"/>
    </xf>
    <xf numFmtId="6" fontId="57" fillId="9" borderId="17" xfId="1" applyNumberFormat="1" applyFont="1" applyFill="1" applyBorder="1" applyAlignment="1">
      <alignment horizontal="center"/>
    </xf>
    <xf numFmtId="6" fontId="57" fillId="9" borderId="52" xfId="1" applyNumberFormat="1" applyFont="1" applyFill="1" applyBorder="1" applyAlignment="1">
      <alignment horizontal="center"/>
    </xf>
    <xf numFmtId="0" fontId="18" fillId="0" borderId="0" xfId="0" applyFont="1" applyAlignment="1">
      <alignment horizontal="center" vertical="center" wrapText="1"/>
    </xf>
    <xf numFmtId="0" fontId="58" fillId="0" borderId="0" xfId="0" applyFont="1" applyAlignment="1">
      <alignment horizontal="center" vertical="center"/>
    </xf>
    <xf numFmtId="0" fontId="56" fillId="9" borderId="96" xfId="0" applyFont="1" applyFill="1" applyBorder="1" applyAlignment="1">
      <alignment horizontal="center"/>
    </xf>
    <xf numFmtId="0" fontId="56" fillId="9" borderId="98" xfId="0" applyFont="1" applyFill="1" applyBorder="1" applyAlignment="1">
      <alignment horizontal="center"/>
    </xf>
    <xf numFmtId="0" fontId="56" fillId="9" borderId="97" xfId="0" applyFont="1" applyFill="1" applyBorder="1" applyAlignment="1">
      <alignment horizontal="center"/>
    </xf>
    <xf numFmtId="0" fontId="13" fillId="5" borderId="10" xfId="1" applyFont="1" applyFill="1" applyBorder="1" applyAlignment="1">
      <alignment horizontal="center"/>
    </xf>
    <xf numFmtId="0" fontId="13" fillId="5" borderId="27" xfId="1" applyFont="1" applyFill="1" applyBorder="1" applyAlignment="1">
      <alignment horizontal="center"/>
    </xf>
    <xf numFmtId="0" fontId="13" fillId="5" borderId="11" xfId="1" applyFont="1" applyFill="1" applyBorder="1" applyAlignment="1">
      <alignment horizontal="center"/>
    </xf>
    <xf numFmtId="0" fontId="21" fillId="0" borderId="0" xfId="0" applyFont="1" applyAlignment="1">
      <alignment horizontal="center" vertical="center"/>
    </xf>
    <xf numFmtId="0" fontId="19" fillId="0" borderId="0" xfId="0" applyFont="1" applyAlignment="1">
      <alignment horizontal="center" wrapText="1"/>
    </xf>
    <xf numFmtId="0" fontId="5" fillId="0" borderId="1" xfId="0" applyFont="1" applyBorder="1" applyAlignment="1">
      <alignment horizontal="left" vertical="center" wrapText="1"/>
    </xf>
    <xf numFmtId="0" fontId="3" fillId="0" borderId="7" xfId="3" applyFill="1" applyBorder="1" applyAlignment="1" applyProtection="1">
      <alignment horizontal="left" wrapText="1"/>
    </xf>
    <xf numFmtId="0" fontId="3" fillId="0" borderId="0" xfId="3" applyFill="1" applyBorder="1" applyAlignment="1" applyProtection="1">
      <alignment horizontal="left" wrapText="1"/>
    </xf>
    <xf numFmtId="0" fontId="7" fillId="0" borderId="0" xfId="0" applyFont="1" applyAlignment="1">
      <alignment horizontal="center" wrapText="1"/>
    </xf>
    <xf numFmtId="0" fontId="3" fillId="0" borderId="1" xfId="3" applyBorder="1" applyAlignment="1" applyProtection="1">
      <alignment horizontal="center"/>
    </xf>
    <xf numFmtId="1" fontId="5" fillId="0" borderId="1" xfId="0" applyNumberFormat="1" applyFont="1" applyBorder="1" applyAlignment="1">
      <alignment horizontal="left" wrapText="1"/>
    </xf>
    <xf numFmtId="0" fontId="5" fillId="0" borderId="1" xfId="0" applyFont="1" applyBorder="1" applyAlignment="1">
      <alignment horizontal="left" wrapText="1"/>
    </xf>
    <xf numFmtId="0" fontId="12" fillId="0" borderId="7" xfId="0" applyFont="1" applyBorder="1"/>
    <xf numFmtId="0" fontId="12" fillId="0" borderId="0" xfId="0" applyFont="1"/>
    <xf numFmtId="0" fontId="12" fillId="0" borderId="4" xfId="0" applyFont="1" applyBorder="1"/>
    <xf numFmtId="0" fontId="12" fillId="6" borderId="1" xfId="0" applyFont="1" applyFill="1" applyBorder="1" applyAlignment="1">
      <alignment horizontal="left" wrapText="1"/>
    </xf>
    <xf numFmtId="0" fontId="7" fillId="0" borderId="28" xfId="0" applyFont="1" applyBorder="1" applyAlignment="1">
      <alignment wrapText="1"/>
    </xf>
    <xf numFmtId="0" fontId="12" fillId="5" borderId="1" xfId="0" applyFont="1" applyFill="1" applyBorder="1" applyAlignment="1">
      <alignment horizontal="left" vertical="top" wrapText="1"/>
    </xf>
    <xf numFmtId="0" fontId="12" fillId="5" borderId="1" xfId="0" applyFont="1" applyFill="1" applyBorder="1" applyAlignment="1">
      <alignment horizontal="left" wrapText="1"/>
    </xf>
    <xf numFmtId="0" fontId="12" fillId="0" borderId="8" xfId="0" applyFont="1" applyBorder="1"/>
    <xf numFmtId="0" fontId="12" fillId="0" borderId="28" xfId="0" applyFont="1" applyBorder="1"/>
    <xf numFmtId="0" fontId="12" fillId="0" borderId="9" xfId="0" applyFont="1" applyBorder="1"/>
    <xf numFmtId="0" fontId="12" fillId="0" borderId="5" xfId="0" applyFont="1" applyBorder="1"/>
    <xf numFmtId="0" fontId="12" fillId="0" borderId="14" xfId="0" applyFont="1" applyBorder="1"/>
    <xf numFmtId="0" fontId="12" fillId="0" borderId="6" xfId="0" applyFont="1" applyBorder="1"/>
    <xf numFmtId="0" fontId="5" fillId="0" borderId="12" xfId="0" applyFont="1" applyBorder="1" applyAlignment="1">
      <alignment wrapText="1"/>
    </xf>
    <xf numFmtId="0" fontId="5" fillId="0" borderId="13" xfId="0" applyFont="1" applyBorder="1" applyAlignment="1">
      <alignment wrapText="1"/>
    </xf>
    <xf numFmtId="0" fontId="5" fillId="0" borderId="3" xfId="0" applyFont="1" applyBorder="1" applyAlignment="1">
      <alignment wrapText="1"/>
    </xf>
    <xf numFmtId="0" fontId="12" fillId="0" borderId="12" xfId="0" applyFont="1" applyBorder="1"/>
    <xf numFmtId="0" fontId="13" fillId="0" borderId="13" xfId="0" applyFont="1" applyBorder="1"/>
    <xf numFmtId="0" fontId="13" fillId="0" borderId="3" xfId="0" applyFont="1" applyBorder="1"/>
    <xf numFmtId="0" fontId="5" fillId="5" borderId="1" xfId="0" applyFont="1" applyFill="1" applyBorder="1" applyAlignment="1">
      <alignment horizontal="left" vertical="center" wrapText="1"/>
    </xf>
    <xf numFmtId="0" fontId="5" fillId="5" borderId="1" xfId="0" applyFont="1" applyFill="1" applyBorder="1" applyAlignment="1">
      <alignment horizontal="left" vertical="center"/>
    </xf>
    <xf numFmtId="1" fontId="7" fillId="0" borderId="28" xfId="0" applyNumberFormat="1" applyFont="1" applyBorder="1" applyAlignment="1">
      <alignment horizontal="center"/>
    </xf>
    <xf numFmtId="0" fontId="5" fillId="0" borderId="1" xfId="0" applyFont="1" applyBorder="1" applyAlignment="1">
      <alignment horizontal="left" vertical="center"/>
    </xf>
    <xf numFmtId="171" fontId="5" fillId="3" borderId="1" xfId="2" applyNumberFormat="1" applyFont="1" applyFill="1" applyBorder="1" applyAlignment="1" applyProtection="1">
      <alignment horizontal="center" vertical="center"/>
      <protection locked="0"/>
    </xf>
    <xf numFmtId="165" fontId="5" fillId="3" borderId="1" xfId="0" applyNumberFormat="1" applyFont="1" applyFill="1" applyBorder="1" applyAlignment="1" applyProtection="1">
      <alignment horizontal="center" vertical="center"/>
      <protection locked="0"/>
    </xf>
    <xf numFmtId="0" fontId="5" fillId="0" borderId="0" xfId="0" applyFont="1" applyAlignment="1">
      <alignment horizontal="left" vertical="top" wrapText="1"/>
    </xf>
    <xf numFmtId="0" fontId="12" fillId="0" borderId="1" xfId="0" applyFont="1" applyBorder="1" applyAlignment="1">
      <alignment horizontal="left" wrapText="1"/>
    </xf>
    <xf numFmtId="184" fontId="5" fillId="3" borderId="1" xfId="4" applyNumberFormat="1" applyFont="1" applyFill="1" applyBorder="1" applyAlignment="1" applyProtection="1">
      <alignment horizontal="center" vertical="center"/>
      <protection locked="0"/>
    </xf>
    <xf numFmtId="0" fontId="3" fillId="0" borderId="1" xfId="3" applyBorder="1" applyAlignment="1">
      <alignment horizontal="center"/>
    </xf>
    <xf numFmtId="1" fontId="7" fillId="0" borderId="28" xfId="0" applyNumberFormat="1" applyFont="1" applyBorder="1" applyAlignment="1">
      <alignment horizontal="center" vertical="center"/>
    </xf>
    <xf numFmtId="0" fontId="7" fillId="0" borderId="28" xfId="0" applyFont="1" applyBorder="1" applyAlignment="1">
      <alignment horizontal="center"/>
    </xf>
    <xf numFmtId="0" fontId="12" fillId="0" borderId="1" xfId="0" applyFont="1" applyBorder="1" applyAlignment="1">
      <alignment horizontal="left" vertical="top" wrapText="1"/>
    </xf>
    <xf numFmtId="0" fontId="12" fillId="0" borderId="13" xfId="0" applyFont="1" applyBorder="1"/>
    <xf numFmtId="0" fontId="12" fillId="0" borderId="3" xfId="0" applyFont="1" applyBorder="1"/>
    <xf numFmtId="185" fontId="63" fillId="0" borderId="7" xfId="0" applyNumberFormat="1" applyFont="1" applyBorder="1" applyAlignment="1">
      <alignment horizontal="left" vertical="center"/>
    </xf>
    <xf numFmtId="185" fontId="63" fillId="0" borderId="0" xfId="0" applyNumberFormat="1" applyFont="1" applyAlignment="1">
      <alignment horizontal="left" vertical="center"/>
    </xf>
    <xf numFmtId="185" fontId="63" fillId="0" borderId="32" xfId="0" applyNumberFormat="1" applyFont="1" applyBorder="1" applyAlignment="1">
      <alignment horizontal="left" vertical="center"/>
    </xf>
    <xf numFmtId="180" fontId="63" fillId="0" borderId="7" xfId="0" applyNumberFormat="1" applyFont="1" applyBorder="1" applyAlignment="1">
      <alignment horizontal="left" vertical="center"/>
    </xf>
    <xf numFmtId="180" fontId="63" fillId="0" borderId="0" xfId="0" applyNumberFormat="1" applyFont="1" applyAlignment="1">
      <alignment horizontal="left" vertical="center"/>
    </xf>
    <xf numFmtId="0" fontId="9" fillId="0" borderId="98" xfId="0" applyFont="1" applyBorder="1" applyAlignment="1">
      <alignment horizontal="left" wrapText="1"/>
    </xf>
    <xf numFmtId="0" fontId="9" fillId="0" borderId="0" xfId="0" applyFont="1" applyAlignment="1">
      <alignment horizontal="left" wrapText="1"/>
    </xf>
    <xf numFmtId="173" fontId="63" fillId="0" borderId="7" xfId="0" applyNumberFormat="1" applyFont="1" applyBorder="1" applyAlignment="1">
      <alignment horizontal="left"/>
    </xf>
    <xf numFmtId="173" fontId="63" fillId="0" borderId="0" xfId="0" applyNumberFormat="1" applyFont="1" applyAlignment="1">
      <alignment horizontal="left"/>
    </xf>
    <xf numFmtId="174" fontId="63" fillId="6" borderId="7" xfId="0" applyNumberFormat="1" applyFont="1" applyFill="1" applyBorder="1" applyAlignment="1">
      <alignment horizontal="left"/>
    </xf>
    <xf numFmtId="174" fontId="63" fillId="6" borderId="0" xfId="0" applyNumberFormat="1" applyFont="1" applyFill="1" applyAlignment="1">
      <alignment horizontal="left"/>
    </xf>
    <xf numFmtId="178" fontId="63" fillId="0" borderId="7" xfId="0" applyNumberFormat="1" applyFont="1" applyBorder="1" applyAlignment="1">
      <alignment horizontal="left" vertical="center"/>
    </xf>
    <xf numFmtId="178" fontId="63" fillId="0" borderId="0" xfId="0" applyNumberFormat="1" applyFont="1" applyAlignment="1">
      <alignment horizontal="left" vertical="center"/>
    </xf>
    <xf numFmtId="190" fontId="60" fillId="0" borderId="7" xfId="0" applyNumberFormat="1" applyFont="1" applyBorder="1" applyAlignment="1">
      <alignment horizontal="left"/>
    </xf>
    <xf numFmtId="190" fontId="60" fillId="0" borderId="0" xfId="0" applyNumberFormat="1" applyFont="1" applyAlignment="1">
      <alignment horizontal="left"/>
    </xf>
    <xf numFmtId="190" fontId="60" fillId="0" borderId="32" xfId="0" applyNumberFormat="1" applyFont="1" applyBorder="1" applyAlignment="1">
      <alignment horizontal="left"/>
    </xf>
    <xf numFmtId="1" fontId="9" fillId="0" borderId="28" xfId="0" applyNumberFormat="1" applyFont="1" applyBorder="1" applyAlignment="1">
      <alignment horizontal="center" vertical="center" wrapText="1"/>
    </xf>
    <xf numFmtId="179" fontId="60" fillId="0" borderId="10" xfId="4" applyNumberFormat="1" applyFont="1" applyFill="1" applyBorder="1" applyAlignment="1" applyProtection="1">
      <alignment horizontal="left"/>
    </xf>
    <xf numFmtId="179" fontId="60" fillId="0" borderId="11" xfId="4" applyNumberFormat="1" applyFont="1" applyFill="1" applyBorder="1" applyAlignment="1" applyProtection="1">
      <alignment horizontal="left"/>
    </xf>
    <xf numFmtId="175" fontId="63" fillId="6" borderId="7" xfId="0" applyNumberFormat="1" applyFont="1" applyFill="1" applyBorder="1" applyAlignment="1">
      <alignment horizontal="left"/>
    </xf>
    <xf numFmtId="175" fontId="63" fillId="6" borderId="0" xfId="0" applyNumberFormat="1" applyFont="1" applyFill="1" applyAlignment="1">
      <alignment horizontal="left"/>
    </xf>
    <xf numFmtId="181" fontId="63" fillId="0" borderId="7" xfId="0" applyNumberFormat="1" applyFont="1" applyBorder="1" applyAlignment="1">
      <alignment horizontal="left" vertical="top"/>
    </xf>
    <xf numFmtId="181" fontId="63" fillId="0" borderId="0" xfId="0" applyNumberFormat="1" applyFont="1" applyAlignment="1">
      <alignment horizontal="left" vertical="top"/>
    </xf>
    <xf numFmtId="182" fontId="63" fillId="0" borderId="7" xfId="0" applyNumberFormat="1" applyFont="1" applyBorder="1" applyAlignment="1">
      <alignment horizontal="left" vertical="top"/>
    </xf>
    <xf numFmtId="182" fontId="63" fillId="0" borderId="0" xfId="0" applyNumberFormat="1" applyFont="1" applyAlignment="1">
      <alignment horizontal="left" vertical="top"/>
    </xf>
    <xf numFmtId="183" fontId="63" fillId="0" borderId="7" xfId="0" applyNumberFormat="1" applyFont="1" applyBorder="1" applyAlignment="1">
      <alignment horizontal="left" vertical="top"/>
    </xf>
    <xf numFmtId="183" fontId="63" fillId="0" borderId="0" xfId="0" applyNumberFormat="1" applyFont="1" applyAlignment="1">
      <alignment horizontal="left" vertical="top"/>
    </xf>
    <xf numFmtId="188" fontId="63" fillId="0" borderId="7" xfId="0" applyNumberFormat="1" applyFont="1" applyBorder="1" applyAlignment="1">
      <alignment horizontal="left" vertical="center"/>
    </xf>
    <xf numFmtId="188" fontId="63" fillId="0" borderId="0" xfId="0" applyNumberFormat="1" applyFont="1" applyAlignment="1">
      <alignment horizontal="left" vertical="center"/>
    </xf>
    <xf numFmtId="188" fontId="63" fillId="0" borderId="32" xfId="0" applyNumberFormat="1" applyFont="1" applyBorder="1" applyAlignment="1">
      <alignment horizontal="left" vertical="center"/>
    </xf>
    <xf numFmtId="0" fontId="5" fillId="9" borderId="1" xfId="0" applyFont="1" applyFill="1" applyBorder="1" applyAlignment="1">
      <alignment horizontal="center" vertical="center"/>
    </xf>
    <xf numFmtId="172" fontId="63" fillId="0" borderId="7" xfId="0" applyNumberFormat="1" applyFont="1" applyBorder="1" applyAlignment="1">
      <alignment horizontal="left" vertical="top"/>
    </xf>
    <xf numFmtId="172" fontId="63" fillId="0" borderId="0" xfId="0" applyNumberFormat="1" applyFont="1" applyAlignment="1">
      <alignment horizontal="left" vertical="top"/>
    </xf>
    <xf numFmtId="0" fontId="7" fillId="0" borderId="0" xfId="0" applyFont="1" applyAlignment="1">
      <alignment horizontal="left" wrapText="1"/>
    </xf>
    <xf numFmtId="192" fontId="60" fillId="0" borderId="7" xfId="0" applyNumberFormat="1" applyFont="1" applyBorder="1" applyAlignment="1">
      <alignment horizontal="left"/>
    </xf>
    <xf numFmtId="192" fontId="60" fillId="0" borderId="0" xfId="0" applyNumberFormat="1" applyFont="1" applyAlignment="1">
      <alignment horizontal="left"/>
    </xf>
    <xf numFmtId="192" fontId="60" fillId="0" borderId="32" xfId="0" applyNumberFormat="1" applyFont="1" applyBorder="1" applyAlignment="1">
      <alignment horizontal="left"/>
    </xf>
    <xf numFmtId="168" fontId="9" fillId="0" borderId="0" xfId="0" applyNumberFormat="1" applyFont="1" applyAlignment="1">
      <alignment horizontal="left" vertical="top"/>
    </xf>
    <xf numFmtId="189" fontId="63" fillId="0" borderId="7" xfId="0" applyNumberFormat="1" applyFont="1" applyBorder="1" applyAlignment="1">
      <alignment horizontal="left" vertical="top"/>
    </xf>
    <xf numFmtId="189" fontId="63" fillId="0" borderId="0" xfId="0" applyNumberFormat="1" applyFont="1" applyAlignment="1">
      <alignment horizontal="left" vertical="top"/>
    </xf>
    <xf numFmtId="166" fontId="9" fillId="0" borderId="7" xfId="0" applyNumberFormat="1" applyFont="1" applyBorder="1" applyAlignment="1">
      <alignment horizontal="left" vertical="top"/>
    </xf>
    <xf numFmtId="166" fontId="5" fillId="0" borderId="0" xfId="0" applyNumberFormat="1" applyFont="1" applyAlignment="1">
      <alignment horizontal="left" vertical="top"/>
    </xf>
    <xf numFmtId="166" fontId="9" fillId="0" borderId="0" xfId="0" applyNumberFormat="1" applyFont="1" applyAlignment="1">
      <alignment horizontal="left" vertical="top"/>
    </xf>
    <xf numFmtId="3" fontId="5" fillId="0" borderId="101" xfId="0" applyNumberFormat="1" applyFont="1" applyBorder="1" applyAlignment="1">
      <alignment horizontal="center" vertical="center"/>
    </xf>
    <xf numFmtId="3" fontId="5" fillId="0" borderId="11" xfId="0" applyNumberFormat="1" applyFont="1" applyBorder="1" applyAlignment="1">
      <alignment horizontal="center" vertical="center"/>
    </xf>
    <xf numFmtId="1" fontId="9" fillId="0" borderId="28" xfId="0" applyNumberFormat="1" applyFont="1" applyBorder="1" applyAlignment="1">
      <alignment horizontal="center" vertical="center"/>
    </xf>
    <xf numFmtId="191" fontId="60" fillId="0" borderId="7" xfId="0" applyNumberFormat="1" applyFont="1" applyBorder="1" applyAlignment="1">
      <alignment horizontal="left"/>
    </xf>
    <xf numFmtId="191" fontId="60" fillId="0" borderId="0" xfId="0" applyNumberFormat="1" applyFont="1" applyAlignment="1">
      <alignment horizontal="left"/>
    </xf>
    <xf numFmtId="191" fontId="60" fillId="0" borderId="32" xfId="0" applyNumberFormat="1" applyFont="1" applyBorder="1" applyAlignment="1">
      <alignment horizontal="left"/>
    </xf>
    <xf numFmtId="169" fontId="63" fillId="0" borderId="7" xfId="0" applyNumberFormat="1" applyFont="1" applyBorder="1" applyAlignment="1">
      <alignment horizontal="left" vertical="center"/>
    </xf>
    <xf numFmtId="169" fontId="63" fillId="0" borderId="0" xfId="0" applyNumberFormat="1" applyFont="1" applyAlignment="1">
      <alignment horizontal="left" vertical="center"/>
    </xf>
    <xf numFmtId="0" fontId="0" fillId="0" borderId="0" xfId="0"/>
    <xf numFmtId="1" fontId="9" fillId="0" borderId="0" xfId="0" applyNumberFormat="1" applyFont="1" applyAlignment="1">
      <alignment horizontal="center"/>
    </xf>
    <xf numFmtId="0" fontId="7" fillId="0" borderId="0" xfId="0" applyFont="1" applyAlignment="1">
      <alignment horizontal="left" vertical="top" wrapText="1"/>
    </xf>
    <xf numFmtId="179" fontId="60" fillId="0" borderId="10" xfId="4" applyNumberFormat="1" applyFont="1" applyFill="1" applyBorder="1" applyAlignment="1" applyProtection="1">
      <alignment horizontal="left" vertical="center"/>
    </xf>
    <xf numFmtId="179" fontId="60" fillId="0" borderId="11" xfId="4" applyNumberFormat="1" applyFont="1" applyFill="1" applyBorder="1" applyAlignment="1" applyProtection="1">
      <alignment horizontal="left" vertical="center"/>
    </xf>
    <xf numFmtId="0" fontId="0" fillId="0" borderId="0" xfId="0" applyAlignment="1">
      <alignment horizontal="left" vertical="top" wrapText="1"/>
    </xf>
    <xf numFmtId="1" fontId="24" fillId="0" borderId="0" xfId="0" applyNumberFormat="1" applyFont="1" applyAlignment="1">
      <alignment horizontal="center" vertical="center"/>
    </xf>
    <xf numFmtId="0" fontId="0" fillId="9" borderId="1" xfId="0" applyFill="1" applyBorder="1" applyAlignment="1">
      <alignment horizontal="center" vertical="center"/>
    </xf>
    <xf numFmtId="3" fontId="0" fillId="0" borderId="101" xfId="0" applyNumberFormat="1" applyBorder="1" applyAlignment="1">
      <alignment horizontal="center" vertical="center"/>
    </xf>
    <xf numFmtId="3" fontId="0" fillId="0" borderId="11" xfId="0" applyNumberFormat="1" applyBorder="1" applyAlignment="1">
      <alignment horizontal="center" vertical="center"/>
    </xf>
    <xf numFmtId="176" fontId="63" fillId="0" borderId="7" xfId="0" applyNumberFormat="1" applyFont="1" applyBorder="1" applyAlignment="1">
      <alignment horizontal="left" vertical="center"/>
    </xf>
    <xf numFmtId="176" fontId="63" fillId="0" borderId="0" xfId="0" applyNumberFormat="1" applyFont="1" applyAlignment="1">
      <alignment horizontal="left" vertical="center"/>
    </xf>
    <xf numFmtId="177" fontId="63" fillId="0" borderId="7" xfId="0" applyNumberFormat="1" applyFont="1" applyBorder="1" applyAlignment="1">
      <alignment horizontal="left" vertical="center"/>
    </xf>
    <xf numFmtId="177" fontId="63" fillId="0" borderId="0" xfId="0" applyNumberFormat="1" applyFont="1" applyAlignment="1">
      <alignment horizontal="left" vertical="center"/>
    </xf>
    <xf numFmtId="0" fontId="45" fillId="0" borderId="8" xfId="1" applyFont="1" applyBorder="1" applyAlignment="1" applyProtection="1">
      <alignment horizontal="left" wrapText="1"/>
      <protection locked="0"/>
    </xf>
    <xf numFmtId="0" fontId="45" fillId="0" borderId="28" xfId="1" applyFont="1" applyBorder="1" applyAlignment="1" applyProtection="1">
      <alignment horizontal="left" wrapText="1"/>
      <protection locked="0"/>
    </xf>
    <xf numFmtId="0" fontId="45" fillId="0" borderId="9" xfId="1" applyFont="1" applyBorder="1" applyAlignment="1" applyProtection="1">
      <alignment horizontal="left" wrapText="1"/>
      <protection locked="0"/>
    </xf>
    <xf numFmtId="0" fontId="5" fillId="0" borderId="0" xfId="0" applyFont="1" applyAlignment="1" applyProtection="1">
      <alignment horizontal="left" vertical="center" wrapText="1"/>
      <protection locked="0"/>
    </xf>
    <xf numFmtId="0" fontId="4" fillId="6" borderId="0" xfId="1" applyFont="1" applyFill="1" applyAlignment="1" applyProtection="1">
      <alignment horizontal="center" wrapText="1"/>
      <protection locked="0"/>
    </xf>
    <xf numFmtId="6" fontId="45" fillId="0" borderId="19" xfId="1" applyNumberFormat="1" applyFont="1" applyBorder="1" applyAlignment="1" applyProtection="1">
      <alignment horizontal="left" wrapText="1"/>
      <protection locked="0"/>
    </xf>
    <xf numFmtId="6" fontId="45" fillId="0" borderId="53" xfId="1" applyNumberFormat="1" applyFont="1" applyBorder="1" applyAlignment="1" applyProtection="1">
      <alignment horizontal="left" wrapText="1"/>
      <protection locked="0"/>
    </xf>
    <xf numFmtId="6" fontId="45" fillId="0" borderId="20" xfId="1" applyNumberFormat="1" applyFont="1" applyBorder="1" applyAlignment="1" applyProtection="1">
      <alignment horizontal="left" wrapText="1"/>
      <protection locked="0"/>
    </xf>
    <xf numFmtId="6" fontId="45" fillId="0" borderId="25" xfId="1" applyNumberFormat="1" applyFont="1" applyBorder="1" applyAlignment="1" applyProtection="1">
      <alignment horizontal="left" wrapText="1"/>
      <protection locked="0"/>
    </xf>
    <xf numFmtId="6" fontId="45" fillId="0" borderId="56" xfId="1" applyNumberFormat="1" applyFont="1" applyBorder="1" applyAlignment="1" applyProtection="1">
      <alignment horizontal="left" wrapText="1"/>
      <protection locked="0"/>
    </xf>
    <xf numFmtId="6" fontId="45" fillId="0" borderId="22" xfId="1" applyNumberFormat="1" applyFont="1" applyBorder="1" applyAlignment="1" applyProtection="1">
      <alignment horizontal="left" wrapText="1"/>
      <protection locked="0"/>
    </xf>
    <xf numFmtId="6" fontId="45" fillId="0" borderId="12" xfId="1" applyNumberFormat="1" applyFont="1" applyBorder="1" applyAlignment="1" applyProtection="1">
      <alignment horizontal="left" wrapText="1"/>
      <protection locked="0"/>
    </xf>
    <xf numFmtId="6" fontId="45" fillId="0" borderId="13" xfId="1" applyNumberFormat="1" applyFont="1" applyBorder="1" applyAlignment="1" applyProtection="1">
      <alignment horizontal="left" wrapText="1"/>
      <protection locked="0"/>
    </xf>
    <xf numFmtId="6" fontId="45" fillId="0" borderId="3" xfId="1" applyNumberFormat="1" applyFont="1" applyBorder="1" applyAlignment="1" applyProtection="1">
      <alignment horizontal="left" wrapText="1"/>
      <protection locked="0"/>
    </xf>
    <xf numFmtId="6" fontId="45" fillId="18" borderId="19" xfId="1" applyNumberFormat="1" applyFont="1" applyFill="1" applyBorder="1" applyAlignment="1" applyProtection="1">
      <alignment horizontal="left" wrapText="1"/>
      <protection locked="0"/>
    </xf>
    <xf numFmtId="6" fontId="45" fillId="18" borderId="53" xfId="1" applyNumberFormat="1" applyFont="1" applyFill="1" applyBorder="1" applyAlignment="1" applyProtection="1">
      <alignment horizontal="left" wrapText="1"/>
      <protection locked="0"/>
    </xf>
    <xf numFmtId="6" fontId="45" fillId="18" borderId="20" xfId="1" applyNumberFormat="1" applyFont="1" applyFill="1" applyBorder="1" applyAlignment="1" applyProtection="1">
      <alignment horizontal="left" wrapText="1"/>
      <protection locked="0"/>
    </xf>
    <xf numFmtId="6" fontId="45" fillId="17" borderId="19" xfId="1" applyNumberFormat="1" applyFont="1" applyFill="1" applyBorder="1" applyAlignment="1" applyProtection="1">
      <alignment horizontal="left" wrapText="1"/>
      <protection locked="0"/>
    </xf>
    <xf numFmtId="6" fontId="45" fillId="17" borderId="53" xfId="1" applyNumberFormat="1" applyFont="1" applyFill="1" applyBorder="1" applyAlignment="1" applyProtection="1">
      <alignment horizontal="left" wrapText="1"/>
      <protection locked="0"/>
    </xf>
    <xf numFmtId="6" fontId="45" fillId="17" borderId="20" xfId="1" applyNumberFormat="1" applyFont="1" applyFill="1" applyBorder="1" applyAlignment="1" applyProtection="1">
      <alignment horizontal="left" wrapText="1"/>
      <protection locked="0"/>
    </xf>
    <xf numFmtId="6" fontId="45" fillId="5" borderId="19" xfId="1" applyNumberFormat="1" applyFont="1" applyFill="1" applyBorder="1" applyAlignment="1" applyProtection="1">
      <alignment horizontal="left" wrapText="1"/>
      <protection locked="0"/>
    </xf>
    <xf numFmtId="6" fontId="45" fillId="5" borderId="53" xfId="1" applyNumberFormat="1" applyFont="1" applyFill="1" applyBorder="1" applyAlignment="1" applyProtection="1">
      <alignment horizontal="left" wrapText="1"/>
      <protection locked="0"/>
    </xf>
    <xf numFmtId="6" fontId="45" fillId="5" borderId="20" xfId="1" applyNumberFormat="1" applyFont="1" applyFill="1" applyBorder="1" applyAlignment="1" applyProtection="1">
      <alignment horizontal="left" wrapText="1"/>
      <protection locked="0"/>
    </xf>
    <xf numFmtId="0" fontId="13" fillId="5" borderId="5" xfId="1" applyFont="1" applyFill="1" applyBorder="1" applyAlignment="1" applyProtection="1">
      <alignment horizontal="center" wrapText="1"/>
      <protection locked="0"/>
    </xf>
    <xf numFmtId="0" fontId="13" fillId="5" borderId="14" xfId="1" applyFont="1" applyFill="1" applyBorder="1" applyAlignment="1" applyProtection="1">
      <alignment horizontal="center" wrapText="1"/>
      <protection locked="0"/>
    </xf>
    <xf numFmtId="0" fontId="13" fillId="5" borderId="6" xfId="1" applyFont="1" applyFill="1" applyBorder="1" applyAlignment="1" applyProtection="1">
      <alignment horizontal="center" wrapText="1"/>
      <protection locked="0"/>
    </xf>
    <xf numFmtId="6" fontId="45" fillId="5" borderId="26" xfId="1" applyNumberFormat="1" applyFont="1" applyFill="1" applyBorder="1" applyAlignment="1" applyProtection="1">
      <alignment horizontal="center" wrapText="1"/>
      <protection locked="0"/>
    </xf>
    <xf numFmtId="6" fontId="45" fillId="5" borderId="54" xfId="1" applyNumberFormat="1" applyFont="1" applyFill="1" applyBorder="1" applyAlignment="1" applyProtection="1">
      <alignment horizontal="center" wrapText="1"/>
      <protection locked="0"/>
    </xf>
    <xf numFmtId="6" fontId="45" fillId="5" borderId="24" xfId="1" applyNumberFormat="1" applyFont="1" applyFill="1" applyBorder="1" applyAlignment="1" applyProtection="1">
      <alignment horizontal="center" wrapText="1"/>
      <protection locked="0"/>
    </xf>
    <xf numFmtId="6" fontId="45" fillId="18" borderId="26" xfId="1" applyNumberFormat="1" applyFont="1" applyFill="1" applyBorder="1" applyAlignment="1" applyProtection="1">
      <alignment horizontal="center" wrapText="1"/>
      <protection locked="0"/>
    </xf>
    <xf numFmtId="6" fontId="45" fillId="18" borderId="54" xfId="1" applyNumberFormat="1" applyFont="1" applyFill="1" applyBorder="1" applyAlignment="1" applyProtection="1">
      <alignment horizontal="center" wrapText="1"/>
      <protection locked="0"/>
    </xf>
    <xf numFmtId="6" fontId="45" fillId="18" borderId="24" xfId="1" applyNumberFormat="1" applyFont="1" applyFill="1" applyBorder="1" applyAlignment="1" applyProtection="1">
      <alignment horizontal="center" wrapText="1"/>
      <protection locked="0"/>
    </xf>
    <xf numFmtId="0" fontId="41" fillId="6" borderId="27" xfId="3" applyFont="1" applyFill="1" applyBorder="1" applyAlignment="1" applyProtection="1">
      <alignment horizontal="center" vertical="center" wrapText="1"/>
    </xf>
    <xf numFmtId="0" fontId="41" fillId="6" borderId="11" xfId="3" applyFont="1" applyFill="1" applyBorder="1" applyAlignment="1" applyProtection="1">
      <alignment horizontal="center" vertical="center" wrapText="1"/>
    </xf>
    <xf numFmtId="0" fontId="34" fillId="6" borderId="44" xfId="5" applyFont="1" applyFill="1" applyBorder="1" applyAlignment="1">
      <alignment horizontal="center" vertical="center" wrapText="1"/>
    </xf>
    <xf numFmtId="0" fontId="34" fillId="6" borderId="45" xfId="5" applyFont="1" applyFill="1" applyBorder="1" applyAlignment="1">
      <alignment horizontal="center" vertical="center" wrapText="1"/>
    </xf>
    <xf numFmtId="0" fontId="34" fillId="6" borderId="46" xfId="5" applyFont="1" applyFill="1" applyBorder="1" applyAlignment="1">
      <alignment horizontal="center" vertical="center" wrapText="1"/>
    </xf>
    <xf numFmtId="0" fontId="62" fillId="6" borderId="0" xfId="1" applyFont="1" applyFill="1" applyAlignment="1">
      <alignment horizontal="center" vertical="center" wrapText="1"/>
    </xf>
    <xf numFmtId="0" fontId="4" fillId="10" borderId="14" xfId="5" applyFont="1" applyFill="1" applyBorder="1" applyAlignment="1">
      <alignment horizontal="center" vertical="center" wrapText="1"/>
    </xf>
    <xf numFmtId="0" fontId="4" fillId="10" borderId="47" xfId="5" applyFont="1" applyFill="1" applyBorder="1" applyAlignment="1">
      <alignment horizontal="center" vertical="center" wrapText="1"/>
    </xf>
    <xf numFmtId="0" fontId="13" fillId="6" borderId="0" xfId="1" applyFont="1" applyFill="1" applyAlignment="1">
      <alignment horizontal="left" vertical="center"/>
    </xf>
    <xf numFmtId="0" fontId="7" fillId="0" borderId="0" xfId="0" applyFont="1" applyAlignment="1">
      <alignment horizontal="left" vertical="center" wrapText="1"/>
    </xf>
    <xf numFmtId="0" fontId="4" fillId="6" borderId="0" xfId="1" applyFont="1" applyFill="1" applyAlignment="1">
      <alignment horizontal="center" vertical="center" wrapText="1"/>
    </xf>
  </cellXfs>
  <cellStyles count="7">
    <cellStyle name="40% - Accent1" xfId="6" builtinId="31"/>
    <cellStyle name="Currency" xfId="4" builtinId="4"/>
    <cellStyle name="Hyperlink" xfId="3" builtinId="8"/>
    <cellStyle name="Normal" xfId="0" builtinId="0"/>
    <cellStyle name="Normal 2" xfId="5" xr:uid="{00000000-0005-0000-0000-000004000000}"/>
    <cellStyle name="Normal_EXPSUM" xfId="1" xr:uid="{00000000-0005-0000-0000-000005000000}"/>
    <cellStyle name="Percent" xfId="2" builtinId="5"/>
  </cellStyles>
  <dxfs count="31">
    <dxf>
      <font>
        <b/>
        <i/>
        <color rgb="FFFF0000"/>
      </font>
      <fill>
        <patternFill>
          <bgColor rgb="FFFFFF00"/>
        </patternFill>
      </fill>
    </dxf>
    <dxf>
      <font>
        <b/>
        <i/>
        <color rgb="FFFF0000"/>
      </font>
      <fill>
        <patternFill>
          <bgColor rgb="FFFFFF00"/>
        </patternFill>
      </fill>
    </dxf>
    <dxf>
      <font>
        <b/>
        <i val="0"/>
        <color rgb="FFFF0000"/>
      </font>
      <fill>
        <patternFill>
          <bgColor rgb="FFFFFF00"/>
        </patternFill>
      </fill>
    </dxf>
    <dxf>
      <font>
        <color rgb="FF9C0006"/>
      </font>
      <fill>
        <patternFill>
          <bgColor rgb="FFFFC7CE"/>
        </patternFill>
      </fill>
    </dxf>
    <dxf>
      <font>
        <color rgb="FF9C5700"/>
      </font>
      <fill>
        <patternFill>
          <bgColor rgb="FFFFEB9C"/>
        </patternFill>
      </fill>
    </dxf>
    <dxf>
      <font>
        <color theme="0"/>
      </font>
      <fill>
        <patternFill>
          <bgColor theme="0"/>
        </patternFill>
      </fill>
      <border>
        <left/>
        <right/>
        <top/>
        <bottom/>
        <vertical/>
        <horizontal/>
      </border>
    </dxf>
    <dxf>
      <font>
        <color rgb="FFFF0000"/>
      </font>
      <fill>
        <patternFill>
          <bgColor rgb="FFFFFF00"/>
        </patternFill>
      </fill>
    </dxf>
    <dxf>
      <font>
        <color theme="0"/>
      </font>
      <fill>
        <patternFill>
          <bgColor theme="0"/>
        </patternFill>
      </fill>
      <border>
        <left/>
        <right/>
        <top/>
        <bottom/>
        <vertical/>
        <horizontal/>
      </border>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color theme="0"/>
      </font>
    </dxf>
    <dxf>
      <font>
        <color theme="0"/>
      </font>
    </dxf>
    <dxf>
      <font>
        <color theme="0"/>
      </font>
    </dxf>
    <dxf>
      <font>
        <color theme="0"/>
      </font>
    </dxf>
    <dxf>
      <font>
        <color theme="9" tint="0.79998168889431442"/>
      </font>
    </dxf>
    <dxf>
      <font>
        <color theme="9" tint="0.79998168889431442"/>
      </font>
    </dxf>
    <dxf>
      <font>
        <color rgb="FFFF0000"/>
      </font>
      <fill>
        <patternFill>
          <bgColor theme="9" tint="0.79998168889431442"/>
        </patternFill>
      </fill>
    </dxf>
    <dxf>
      <font>
        <color theme="9" tint="0.59996337778862885"/>
      </font>
    </dxf>
    <dxf>
      <font>
        <color theme="9" tint="0.59996337778862885"/>
      </font>
    </dxf>
    <dxf>
      <font>
        <color theme="9" tint="0.59996337778862885"/>
      </font>
    </dxf>
    <dxf>
      <font>
        <color theme="9" tint="0.59996337778862885"/>
      </font>
    </dxf>
    <dxf>
      <font>
        <b val="0"/>
        <i val="0"/>
        <strike val="0"/>
        <condense val="0"/>
        <extend val="0"/>
        <outline val="0"/>
        <shadow val="0"/>
        <u val="none"/>
        <vertAlign val="baseline"/>
        <sz val="12"/>
        <color rgb="FF000000"/>
        <name val="Calibri"/>
        <scheme val="minor"/>
      </font>
      <numFmt numFmtId="34" formatCode="_(&quot;$&quot;* #,##0.00_);_(&quot;$&quot;* \(#,##0.00\);_(&quot;$&quot;* &quot;-&quot;??_);_(@_)"/>
      <fill>
        <patternFill patternType="none">
          <fgColor indexed="64"/>
          <bgColor indexed="65"/>
        </patternFill>
      </fill>
      <alignment horizontal="left" vertical="center" textRotation="0" wrapText="0" indent="0" justifyLastLine="0" shrinkToFit="0" readingOrder="0"/>
      <border diagonalUp="0" diagonalDown="0">
        <left/>
        <right/>
        <top style="thin">
          <color auto="1"/>
        </top>
        <bottom style="thin">
          <color auto="1"/>
        </bottom>
      </border>
      <protection locked="1" hidden="0"/>
    </dxf>
    <dxf>
      <font>
        <b val="0"/>
      </font>
      <alignment horizontal="center" vertical="center" textRotation="0" wrapText="1" indent="0" justifyLastLine="0" shrinkToFit="0" readingOrder="0"/>
      <border diagonalUp="0" diagonalDown="0">
        <left/>
        <right/>
        <top style="thin">
          <color auto="1"/>
        </top>
        <bottom style="thin">
          <color auto="1"/>
        </bottom>
      </border>
      <protection locked="1" hidden="0"/>
    </dxf>
    <dxf>
      <alignment horizontal="center" vertical="center" textRotation="0" indent="0" justifyLastLine="0" shrinkToFit="0" readingOrder="0"/>
      <border diagonalUp="0" diagonalDown="0">
        <left/>
        <right/>
        <top style="thin">
          <color auto="1"/>
        </top>
        <bottom style="thin">
          <color auto="1"/>
        </bottom>
      </border>
      <protection locked="1" hidden="0"/>
    </dxf>
    <dxf>
      <alignment horizontal="center" vertical="center" textRotation="0" wrapText="1" indent="0" justifyLastLine="0" shrinkToFit="0" readingOrder="0"/>
      <border diagonalUp="0" diagonalDown="0">
        <left/>
        <right/>
        <top style="thin">
          <color auto="1"/>
        </top>
        <bottom style="thin">
          <color auto="1"/>
        </bottom>
      </border>
      <protection locked="1" hidden="0"/>
    </dxf>
    <dxf>
      <alignment vertical="center" textRotation="0" indent="0" justifyLastLine="0" shrinkToFit="0" readingOrder="0"/>
      <protection locked="1" hidden="0"/>
    </dxf>
    <dxf>
      <alignment horizontal="general" vertical="center" textRotation="0" wrapText="1" indent="0" justifyLastLine="0" shrinkToFit="0" readingOrder="0"/>
      <protection locked="1" hidden="0"/>
    </dxf>
  </dxfs>
  <tableStyles count="0" defaultTableStyle="TableStyleMedium2" defaultPivotStyle="PivotStyleLight16"/>
  <colors>
    <mruColors>
      <color rgb="FFE2F0D9"/>
      <color rgb="FFFFD9D9"/>
      <color rgb="FFF2C1FF"/>
      <color rgb="FF4B0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hyperlink" Target="https://corpsh1.sharepoint.com/:f:/s/Extranet2/ElMyvvDm6dJBvol98Hm0RJQB8W31wjcClBsGZTA56r51aw?e=CVzxhe" TargetMode="Externa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https://corpsh1.sharepoint.com/:f:/s/Extranet2/EiVOVUDsjRBMh9gaBVUh3zgByiAbCL4nwrk99Xl6iBXf6Q?e=KSqpZ3" TargetMode="External"/><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hyperlink" Target="https://corpsh1.sharepoint.com/:f:/s/Extranet2/EkwrX8op0vBHskroyVsFnpUBM1pdbgRephjhANeDYQ-ixg?e=eIDjvd" TargetMode="Externa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hyperlink" Target="https://corpsh1.sharepoint.com/:f:/s/Extranet2/Erp3jn8Nl6dEhWSafXpXU9ABWAjwKSEN7imKHpJ5JSqTqQ?e=hjVTCG" TargetMode="Externa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1</xdr:row>
      <xdr:rowOff>113772</xdr:rowOff>
    </xdr:from>
    <xdr:to>
      <xdr:col>3</xdr:col>
      <xdr:colOff>415925</xdr:colOff>
      <xdr:row>5</xdr:row>
      <xdr:rowOff>156633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662" y="310622"/>
          <a:ext cx="1608138" cy="77946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160866</xdr:colOff>
      <xdr:row>0</xdr:row>
      <xdr:rowOff>62452</xdr:rowOff>
    </xdr:from>
    <xdr:to>
      <xdr:col>1</xdr:col>
      <xdr:colOff>727709</xdr:colOff>
      <xdr:row>2</xdr:row>
      <xdr:rowOff>52465</xdr:rowOff>
    </xdr:to>
    <xdr:pic>
      <xdr:nvPicPr>
        <xdr:cNvPr id="3" name="Picture 2" descr="C:\Users\lauren.fulton\Downloads\CSH Logo Full Color (1).pn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866" y="62452"/>
          <a:ext cx="1059391" cy="472613"/>
        </a:xfrm>
        <a:prstGeom prst="rect">
          <a:avLst/>
        </a:prstGeom>
        <a:solidFill>
          <a:schemeClr val="bg1"/>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151694</xdr:colOff>
      <xdr:row>1</xdr:row>
      <xdr:rowOff>67028</xdr:rowOff>
    </xdr:from>
    <xdr:to>
      <xdr:col>2</xdr:col>
      <xdr:colOff>1062990</xdr:colOff>
      <xdr:row>2</xdr:row>
      <xdr:rowOff>3099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194" y="268111"/>
          <a:ext cx="1086556" cy="549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136948</xdr:colOff>
      <xdr:row>1</xdr:row>
      <xdr:rowOff>11430</xdr:rowOff>
    </xdr:from>
    <xdr:to>
      <xdr:col>1</xdr:col>
      <xdr:colOff>1240015</xdr:colOff>
      <xdr:row>1</xdr:row>
      <xdr:rowOff>576151</xdr:rowOff>
    </xdr:to>
    <xdr:pic>
      <xdr:nvPicPr>
        <xdr:cNvPr id="3" name="Picture 2">
          <a:extLst>
            <a:ext uri="{FF2B5EF4-FFF2-40B4-BE49-F238E27FC236}">
              <a16:creationId xmlns:a16="http://schemas.microsoft.com/office/drawing/2014/main" id="{6C917C5E-A439-46E2-A61B-C9461B5523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548" y="206163"/>
          <a:ext cx="1103067" cy="5647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106680</xdr:rowOff>
    </xdr:from>
    <xdr:to>
      <xdr:col>2</xdr:col>
      <xdr:colOff>1083098</xdr:colOff>
      <xdr:row>2</xdr:row>
      <xdr:rowOff>21801</xdr:rowOff>
    </xdr:to>
    <xdr:pic>
      <xdr:nvPicPr>
        <xdr:cNvPr id="2" name="Picture 1" descr="C:\Users\lauren.fulton\Downloads\CSH Logo Full Color (1).png">
          <a:extLst>
            <a:ext uri="{FF2B5EF4-FFF2-40B4-BE49-F238E27FC236}">
              <a16:creationId xmlns:a16="http://schemas.microsoft.com/office/drawing/2014/main" id="{54ACBA02-C64C-4F69-9F4F-4A554887A4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 y="106680"/>
          <a:ext cx="1062143" cy="499956"/>
        </a:xfrm>
        <a:prstGeom prst="rect">
          <a:avLst/>
        </a:prstGeom>
        <a:solidFill>
          <a:schemeClr val="bg1"/>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15875</xdr:colOff>
      <xdr:row>0</xdr:row>
      <xdr:rowOff>102658</xdr:rowOff>
    </xdr:from>
    <xdr:to>
      <xdr:col>2</xdr:col>
      <xdr:colOff>952500</xdr:colOff>
      <xdr:row>2</xdr:row>
      <xdr:rowOff>149224</xdr:rowOff>
    </xdr:to>
    <xdr:pic>
      <xdr:nvPicPr>
        <xdr:cNvPr id="3" name="Picture 2" descr="C:\Users\lauren.fulton\Downloads\CSH Logo Full Color (1).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875" y="102658"/>
          <a:ext cx="936625" cy="482811"/>
        </a:xfrm>
        <a:prstGeom prst="rect">
          <a:avLst/>
        </a:prstGeom>
        <a:solidFill>
          <a:schemeClr val="bg1"/>
        </a:solidFill>
        <a:ln>
          <a:noFill/>
        </a:ln>
      </xdr:spPr>
    </xdr:pic>
    <xdr:clientData/>
  </xdr:twoCellAnchor>
  <xdr:twoCellAnchor>
    <xdr:from>
      <xdr:col>4</xdr:col>
      <xdr:colOff>38101</xdr:colOff>
      <xdr:row>66</xdr:row>
      <xdr:rowOff>19050</xdr:rowOff>
    </xdr:from>
    <xdr:to>
      <xdr:col>4</xdr:col>
      <xdr:colOff>1390650</xdr:colOff>
      <xdr:row>69</xdr:row>
      <xdr:rowOff>190500</xdr:rowOff>
    </xdr:to>
    <xdr:sp macro="" textlink="">
      <xdr:nvSpPr>
        <xdr:cNvPr id="5" name="TextBox 4">
          <a:extLst>
            <a:ext uri="{FF2B5EF4-FFF2-40B4-BE49-F238E27FC236}">
              <a16:creationId xmlns:a16="http://schemas.microsoft.com/office/drawing/2014/main" id="{97823312-B16C-75E4-CAD0-49A9F773846F}"/>
            </a:ext>
          </a:extLst>
        </xdr:cNvPr>
        <xdr:cNvSpPr txBox="1"/>
      </xdr:nvSpPr>
      <xdr:spPr>
        <a:xfrm>
          <a:off x="4714876" y="15430500"/>
          <a:ext cx="1352549" cy="819150"/>
        </a:xfrm>
        <a:prstGeom prst="rect">
          <a:avLst/>
        </a:prstGeom>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ctr"/>
        <a:lstStyle/>
        <a:p>
          <a:r>
            <a:rPr lang="en-US" sz="1100" i="0">
              <a:solidFill>
                <a:schemeClr val="bg1"/>
              </a:solidFill>
            </a:rPr>
            <a:t>Estimated</a:t>
          </a:r>
          <a:r>
            <a:rPr lang="en-US" sz="1100" i="0" baseline="0">
              <a:solidFill>
                <a:schemeClr val="bg1"/>
              </a:solidFill>
            </a:rPr>
            <a:t> mileage rates pulled from Basic Input &amp; Assumptions Tab</a:t>
          </a:r>
          <a:endParaRPr lang="en-US" sz="1100" i="0">
            <a:solidFill>
              <a:schemeClr val="bg1"/>
            </a:solidFill>
          </a:endParaRPr>
        </a:p>
      </xdr:txBody>
    </xdr:sp>
    <xdr:clientData/>
  </xdr:twoCellAnchor>
  <xdr:twoCellAnchor>
    <xdr:from>
      <xdr:col>8</xdr:col>
      <xdr:colOff>364435</xdr:colOff>
      <xdr:row>4</xdr:row>
      <xdr:rowOff>173935</xdr:rowOff>
    </xdr:from>
    <xdr:to>
      <xdr:col>9</xdr:col>
      <xdr:colOff>786848</xdr:colOff>
      <xdr:row>4</xdr:row>
      <xdr:rowOff>1697935</xdr:rowOff>
    </xdr:to>
    <xdr:sp macro="" textlink="">
      <xdr:nvSpPr>
        <xdr:cNvPr id="2" name="TextBox 1">
          <a:hlinkClick xmlns:r="http://schemas.openxmlformats.org/officeDocument/2006/relationships" r:id="rId2"/>
          <a:extLst>
            <a:ext uri="{FF2B5EF4-FFF2-40B4-BE49-F238E27FC236}">
              <a16:creationId xmlns:a16="http://schemas.microsoft.com/office/drawing/2014/main" id="{E75EBF93-5EAD-5B61-E34D-6F9ED4A81AD6}"/>
            </a:ext>
          </a:extLst>
        </xdr:cNvPr>
        <xdr:cNvSpPr txBox="1"/>
      </xdr:nvSpPr>
      <xdr:spPr>
        <a:xfrm>
          <a:off x="10676283" y="1010478"/>
          <a:ext cx="2045804" cy="15240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rgbClr val="FF0000"/>
              </a:solidFill>
            </a:rPr>
            <a:t>Click here to view more resources on the ACT model</a:t>
          </a:r>
        </a:p>
      </xdr:txBody>
    </xdr:sp>
    <xdr:clientData/>
  </xdr:twoCellAnchor>
  <xdr:twoCellAnchor>
    <xdr:from>
      <xdr:col>6</xdr:col>
      <xdr:colOff>38100</xdr:colOff>
      <xdr:row>96</xdr:row>
      <xdr:rowOff>19049</xdr:rowOff>
    </xdr:from>
    <xdr:to>
      <xdr:col>6</xdr:col>
      <xdr:colOff>1771650</xdr:colOff>
      <xdr:row>99</xdr:row>
      <xdr:rowOff>19050</xdr:rowOff>
    </xdr:to>
    <xdr:grpSp>
      <xdr:nvGrpSpPr>
        <xdr:cNvPr id="13" name="Group 12">
          <a:extLst>
            <a:ext uri="{FF2B5EF4-FFF2-40B4-BE49-F238E27FC236}">
              <a16:creationId xmlns:a16="http://schemas.microsoft.com/office/drawing/2014/main" id="{8BFFB78C-ACEC-4F29-8C10-668B8E30B32F}"/>
            </a:ext>
          </a:extLst>
        </xdr:cNvPr>
        <xdr:cNvGrpSpPr/>
      </xdr:nvGrpSpPr>
      <xdr:grpSpPr>
        <a:xfrm>
          <a:off x="8420100" y="23433231"/>
          <a:ext cx="1733550" cy="623455"/>
          <a:chOff x="8543925" y="22593299"/>
          <a:chExt cx="1733550" cy="628651"/>
        </a:xfrm>
      </xdr:grpSpPr>
      <xdr:sp macro="" textlink="">
        <xdr:nvSpPr>
          <xdr:cNvPr id="14" name="Rectangle 13">
            <a:extLst>
              <a:ext uri="{FF2B5EF4-FFF2-40B4-BE49-F238E27FC236}">
                <a16:creationId xmlns:a16="http://schemas.microsoft.com/office/drawing/2014/main" id="{AB1A3EB2-A4D4-79E3-C4FC-214068AFC435}"/>
              </a:ext>
            </a:extLst>
          </xdr:cNvPr>
          <xdr:cNvSpPr/>
        </xdr:nvSpPr>
        <xdr:spPr>
          <a:xfrm>
            <a:off x="8848725" y="22593299"/>
            <a:ext cx="1428750" cy="62865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Your overall annual profit or loss (red</a:t>
            </a:r>
            <a:r>
              <a:rPr lang="en-US" sz="1100" baseline="0"/>
              <a:t> parenthese is a loss)</a:t>
            </a:r>
            <a:endParaRPr lang="en-US" sz="1100"/>
          </a:p>
        </xdr:txBody>
      </xdr:sp>
      <xdr:cxnSp macro="">
        <xdr:nvCxnSpPr>
          <xdr:cNvPr id="15" name="Straight Arrow Connector 14">
            <a:extLst>
              <a:ext uri="{FF2B5EF4-FFF2-40B4-BE49-F238E27FC236}">
                <a16:creationId xmlns:a16="http://schemas.microsoft.com/office/drawing/2014/main" id="{98BE9DCF-C26B-3549-7172-8CB510408ACB}"/>
              </a:ext>
            </a:extLst>
          </xdr:cNvPr>
          <xdr:cNvCxnSpPr>
            <a:stCxn id="14" idx="1"/>
          </xdr:cNvCxnSpPr>
        </xdr:nvCxnSpPr>
        <xdr:spPr>
          <a:xfrm flipH="1" flipV="1">
            <a:off x="8543925" y="22888575"/>
            <a:ext cx="304800" cy="19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1743075</xdr:colOff>
      <xdr:row>87</xdr:row>
      <xdr:rowOff>38100</xdr:rowOff>
    </xdr:from>
    <xdr:to>
      <xdr:col>6</xdr:col>
      <xdr:colOff>1428750</xdr:colOff>
      <xdr:row>89</xdr:row>
      <xdr:rowOff>161926</xdr:rowOff>
    </xdr:to>
    <xdr:grpSp>
      <xdr:nvGrpSpPr>
        <xdr:cNvPr id="16" name="Group 15">
          <a:extLst>
            <a:ext uri="{FF2B5EF4-FFF2-40B4-BE49-F238E27FC236}">
              <a16:creationId xmlns:a16="http://schemas.microsoft.com/office/drawing/2014/main" id="{4E9866A9-2C59-461C-A977-0A9CF6D44072}"/>
            </a:ext>
          </a:extLst>
        </xdr:cNvPr>
        <xdr:cNvGrpSpPr/>
      </xdr:nvGrpSpPr>
      <xdr:grpSpPr>
        <a:xfrm>
          <a:off x="8263370" y="21625214"/>
          <a:ext cx="1547380" cy="530803"/>
          <a:chOff x="8391525" y="20774025"/>
          <a:chExt cx="1543050" cy="533401"/>
        </a:xfrm>
      </xdr:grpSpPr>
      <xdr:sp macro="" textlink="">
        <xdr:nvSpPr>
          <xdr:cNvPr id="17" name="Rectangle 16">
            <a:extLst>
              <a:ext uri="{FF2B5EF4-FFF2-40B4-BE49-F238E27FC236}">
                <a16:creationId xmlns:a16="http://schemas.microsoft.com/office/drawing/2014/main" id="{8D80D2C6-79ED-B17D-6DC3-1DBF22D25E97}"/>
              </a:ext>
            </a:extLst>
          </xdr:cNvPr>
          <xdr:cNvSpPr/>
        </xdr:nvSpPr>
        <xdr:spPr>
          <a:xfrm>
            <a:off x="8620125" y="20831176"/>
            <a:ext cx="1314450" cy="4762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Your overall annual</a:t>
            </a:r>
            <a:r>
              <a:rPr lang="en-US" sz="1100" baseline="0"/>
              <a:t> program costs</a:t>
            </a:r>
            <a:endParaRPr lang="en-US" sz="1100"/>
          </a:p>
        </xdr:txBody>
      </xdr:sp>
      <xdr:cxnSp macro="">
        <xdr:nvCxnSpPr>
          <xdr:cNvPr id="18" name="Straight Arrow Connector 17">
            <a:extLst>
              <a:ext uri="{FF2B5EF4-FFF2-40B4-BE49-F238E27FC236}">
                <a16:creationId xmlns:a16="http://schemas.microsoft.com/office/drawing/2014/main" id="{A6F43916-59D5-4C67-93F1-65A04D7283BD}"/>
              </a:ext>
            </a:extLst>
          </xdr:cNvPr>
          <xdr:cNvCxnSpPr>
            <a:stCxn id="17" idx="1"/>
          </xdr:cNvCxnSpPr>
        </xdr:nvCxnSpPr>
        <xdr:spPr>
          <a:xfrm flipH="1" flipV="1">
            <a:off x="8391525" y="20774025"/>
            <a:ext cx="228600" cy="29527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oneCellAnchor>
    <xdr:from>
      <xdr:col>2</xdr:col>
      <xdr:colOff>132292</xdr:colOff>
      <xdr:row>1</xdr:row>
      <xdr:rowOff>64559</xdr:rowOff>
    </xdr:from>
    <xdr:ext cx="1052618" cy="481964"/>
    <xdr:pic>
      <xdr:nvPicPr>
        <xdr:cNvPr id="2" name="Picture 1" descr="C:\Users\lauren.fulton\Downloads\CSH Logo Full Color (1).png">
          <a:extLst>
            <a:ext uri="{FF2B5EF4-FFF2-40B4-BE49-F238E27FC236}">
              <a16:creationId xmlns:a16="http://schemas.microsoft.com/office/drawing/2014/main" id="{615158F8-80DF-4DEF-81A3-71CB8DD74DE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1492" y="255059"/>
          <a:ext cx="1052618" cy="481964"/>
        </a:xfrm>
        <a:prstGeom prst="rect">
          <a:avLst/>
        </a:prstGeom>
        <a:solidFill>
          <a:schemeClr val="bg1"/>
        </a:solidFill>
        <a:ln>
          <a:noFill/>
        </a:ln>
      </xdr:spPr>
    </xdr:pic>
    <xdr:clientData/>
  </xdr:oneCellAnchor>
  <xdr:twoCellAnchor>
    <xdr:from>
      <xdr:col>4</xdr:col>
      <xdr:colOff>19051</xdr:colOff>
      <xdr:row>78</xdr:row>
      <xdr:rowOff>9524</xdr:rowOff>
    </xdr:from>
    <xdr:to>
      <xdr:col>4</xdr:col>
      <xdr:colOff>1722783</xdr:colOff>
      <xdr:row>81</xdr:row>
      <xdr:rowOff>16565</xdr:rowOff>
    </xdr:to>
    <xdr:sp macro="" textlink="">
      <xdr:nvSpPr>
        <xdr:cNvPr id="3" name="TextBox 2">
          <a:extLst>
            <a:ext uri="{FF2B5EF4-FFF2-40B4-BE49-F238E27FC236}">
              <a16:creationId xmlns:a16="http://schemas.microsoft.com/office/drawing/2014/main" id="{216C5CEC-00E6-42CB-918C-86EE5283C1D5}"/>
            </a:ext>
          </a:extLst>
        </xdr:cNvPr>
        <xdr:cNvSpPr txBox="1"/>
      </xdr:nvSpPr>
      <xdr:spPr>
        <a:xfrm>
          <a:off x="4930638" y="17212502"/>
          <a:ext cx="1703732" cy="653085"/>
        </a:xfrm>
        <a:prstGeom prst="rect">
          <a:avLst/>
        </a:prstGeom>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ctr"/>
        <a:lstStyle/>
        <a:p>
          <a:r>
            <a:rPr lang="en-US" sz="1100" i="0">
              <a:solidFill>
                <a:schemeClr val="bg1"/>
              </a:solidFill>
            </a:rPr>
            <a:t>Estimated</a:t>
          </a:r>
          <a:r>
            <a:rPr lang="en-US" sz="1100" i="0" baseline="0">
              <a:solidFill>
                <a:schemeClr val="bg1"/>
              </a:solidFill>
            </a:rPr>
            <a:t> mileage rates pulled from Basic Input &amp; Assumptions Tab</a:t>
          </a:r>
          <a:endParaRPr lang="en-US" sz="1100" i="0">
            <a:solidFill>
              <a:schemeClr val="bg1"/>
            </a:solidFill>
          </a:endParaRPr>
        </a:p>
      </xdr:txBody>
    </xdr:sp>
    <xdr:clientData/>
  </xdr:twoCellAnchor>
  <xdr:twoCellAnchor>
    <xdr:from>
      <xdr:col>8</xdr:col>
      <xdr:colOff>609600</xdr:colOff>
      <xdr:row>3</xdr:row>
      <xdr:rowOff>133350</xdr:rowOff>
    </xdr:from>
    <xdr:to>
      <xdr:col>9</xdr:col>
      <xdr:colOff>1076325</xdr:colOff>
      <xdr:row>5</xdr:row>
      <xdr:rowOff>142875</xdr:rowOff>
    </xdr:to>
    <xdr:sp macro="" textlink="">
      <xdr:nvSpPr>
        <xdr:cNvPr id="4" name="TextBox 3">
          <a:hlinkClick xmlns:r="http://schemas.openxmlformats.org/officeDocument/2006/relationships" r:id="rId2"/>
          <a:extLst>
            <a:ext uri="{FF2B5EF4-FFF2-40B4-BE49-F238E27FC236}">
              <a16:creationId xmlns:a16="http://schemas.microsoft.com/office/drawing/2014/main" id="{3B71B3B0-766B-DFB3-928B-4CE384DED77F}"/>
            </a:ext>
          </a:extLst>
        </xdr:cNvPr>
        <xdr:cNvSpPr txBox="1"/>
      </xdr:nvSpPr>
      <xdr:spPr>
        <a:xfrm>
          <a:off x="11134725" y="962025"/>
          <a:ext cx="2143125" cy="16287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rgbClr val="FF0000"/>
              </a:solidFill>
            </a:rPr>
            <a:t>Click here to view more resources and references on the ICM model</a:t>
          </a:r>
        </a:p>
      </xdr:txBody>
    </xdr:sp>
    <xdr:clientData/>
  </xdr:twoCellAnchor>
  <xdr:twoCellAnchor>
    <xdr:from>
      <xdr:col>6</xdr:col>
      <xdr:colOff>28161</xdr:colOff>
      <xdr:row>108</xdr:row>
      <xdr:rowOff>30230</xdr:rowOff>
    </xdr:from>
    <xdr:to>
      <xdr:col>7</xdr:col>
      <xdr:colOff>38929</xdr:colOff>
      <xdr:row>111</xdr:row>
      <xdr:rowOff>37685</xdr:rowOff>
    </xdr:to>
    <xdr:grpSp>
      <xdr:nvGrpSpPr>
        <xdr:cNvPr id="37" name="Group 36">
          <a:extLst>
            <a:ext uri="{FF2B5EF4-FFF2-40B4-BE49-F238E27FC236}">
              <a16:creationId xmlns:a16="http://schemas.microsoft.com/office/drawing/2014/main" id="{5DCA82FB-CABD-4EFB-8ACC-D056DD4FFA19}"/>
            </a:ext>
          </a:extLst>
        </xdr:cNvPr>
        <xdr:cNvGrpSpPr/>
      </xdr:nvGrpSpPr>
      <xdr:grpSpPr>
        <a:xfrm>
          <a:off x="8676861" y="24728555"/>
          <a:ext cx="1734793" cy="636105"/>
          <a:chOff x="8543925" y="22593299"/>
          <a:chExt cx="1733550" cy="628651"/>
        </a:xfrm>
      </xdr:grpSpPr>
      <xdr:sp macro="" textlink="">
        <xdr:nvSpPr>
          <xdr:cNvPr id="38" name="Rectangle 37">
            <a:extLst>
              <a:ext uri="{FF2B5EF4-FFF2-40B4-BE49-F238E27FC236}">
                <a16:creationId xmlns:a16="http://schemas.microsoft.com/office/drawing/2014/main" id="{CC1F6857-A023-6F78-E70E-CFA5D2BF0B79}"/>
              </a:ext>
            </a:extLst>
          </xdr:cNvPr>
          <xdr:cNvSpPr/>
        </xdr:nvSpPr>
        <xdr:spPr>
          <a:xfrm>
            <a:off x="8848725" y="22593299"/>
            <a:ext cx="1428750" cy="62865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Your overall annual profit or loss (red</a:t>
            </a:r>
            <a:r>
              <a:rPr lang="en-US" sz="1100" baseline="0"/>
              <a:t> parenthese is a loss)</a:t>
            </a:r>
            <a:endParaRPr lang="en-US" sz="1100"/>
          </a:p>
        </xdr:txBody>
      </xdr:sp>
      <xdr:cxnSp macro="">
        <xdr:nvCxnSpPr>
          <xdr:cNvPr id="39" name="Straight Arrow Connector 38">
            <a:extLst>
              <a:ext uri="{FF2B5EF4-FFF2-40B4-BE49-F238E27FC236}">
                <a16:creationId xmlns:a16="http://schemas.microsoft.com/office/drawing/2014/main" id="{08EA73CB-D9B8-76E9-BE1E-2E098B3A9288}"/>
              </a:ext>
            </a:extLst>
          </xdr:cNvPr>
          <xdr:cNvCxnSpPr>
            <a:stCxn id="38" idx="1"/>
          </xdr:cNvCxnSpPr>
        </xdr:nvCxnSpPr>
        <xdr:spPr>
          <a:xfrm flipH="1" flipV="1">
            <a:off x="8543925" y="22888575"/>
            <a:ext cx="304800" cy="19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1739348</xdr:colOff>
      <xdr:row>99</xdr:row>
      <xdr:rowOff>41413</xdr:rowOff>
    </xdr:from>
    <xdr:to>
      <xdr:col>6</xdr:col>
      <xdr:colOff>1418811</xdr:colOff>
      <xdr:row>101</xdr:row>
      <xdr:rowOff>168966</xdr:rowOff>
    </xdr:to>
    <xdr:grpSp>
      <xdr:nvGrpSpPr>
        <xdr:cNvPr id="40" name="Group 39">
          <a:extLst>
            <a:ext uri="{FF2B5EF4-FFF2-40B4-BE49-F238E27FC236}">
              <a16:creationId xmlns:a16="http://schemas.microsoft.com/office/drawing/2014/main" id="{77D07372-CA68-4E7C-8B95-9D23C5BC44B4}"/>
            </a:ext>
          </a:extLst>
        </xdr:cNvPr>
        <xdr:cNvGrpSpPr/>
      </xdr:nvGrpSpPr>
      <xdr:grpSpPr>
        <a:xfrm>
          <a:off x="8521148" y="22901413"/>
          <a:ext cx="1546363" cy="537128"/>
          <a:chOff x="8391525" y="20774025"/>
          <a:chExt cx="1543050" cy="533401"/>
        </a:xfrm>
      </xdr:grpSpPr>
      <xdr:sp macro="" textlink="">
        <xdr:nvSpPr>
          <xdr:cNvPr id="41" name="Rectangle 40">
            <a:extLst>
              <a:ext uri="{FF2B5EF4-FFF2-40B4-BE49-F238E27FC236}">
                <a16:creationId xmlns:a16="http://schemas.microsoft.com/office/drawing/2014/main" id="{3A60F0D4-8DEA-D347-C3D0-78523B2A5470}"/>
              </a:ext>
            </a:extLst>
          </xdr:cNvPr>
          <xdr:cNvSpPr/>
        </xdr:nvSpPr>
        <xdr:spPr>
          <a:xfrm>
            <a:off x="8620125" y="20831176"/>
            <a:ext cx="1314450" cy="4762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Your overall annual</a:t>
            </a:r>
            <a:r>
              <a:rPr lang="en-US" sz="1100" baseline="0"/>
              <a:t> program costs</a:t>
            </a:r>
            <a:endParaRPr lang="en-US" sz="1100"/>
          </a:p>
        </xdr:txBody>
      </xdr:sp>
      <xdr:cxnSp macro="">
        <xdr:nvCxnSpPr>
          <xdr:cNvPr id="42" name="Straight Arrow Connector 41">
            <a:extLst>
              <a:ext uri="{FF2B5EF4-FFF2-40B4-BE49-F238E27FC236}">
                <a16:creationId xmlns:a16="http://schemas.microsoft.com/office/drawing/2014/main" id="{BFCB8471-4436-4DC2-68C0-12A6625D01E1}"/>
              </a:ext>
            </a:extLst>
          </xdr:cNvPr>
          <xdr:cNvCxnSpPr>
            <a:stCxn id="41" idx="1"/>
          </xdr:cNvCxnSpPr>
        </xdr:nvCxnSpPr>
        <xdr:spPr>
          <a:xfrm flipH="1" flipV="1">
            <a:off x="8391525" y="20774025"/>
            <a:ext cx="228600" cy="29527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95249</xdr:colOff>
      <xdr:row>1</xdr:row>
      <xdr:rowOff>21167</xdr:rowOff>
    </xdr:from>
    <xdr:ext cx="1050713" cy="485774"/>
    <xdr:pic>
      <xdr:nvPicPr>
        <xdr:cNvPr id="2" name="Picture 1" descr="C:\Users\lauren.fulton\Downloads\CSH Logo Full Color (1).png">
          <a:extLst>
            <a:ext uri="{FF2B5EF4-FFF2-40B4-BE49-F238E27FC236}">
              <a16:creationId xmlns:a16="http://schemas.microsoft.com/office/drawing/2014/main" id="{E62C7E65-7D06-4278-84C3-66BA9010488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9" y="211667"/>
          <a:ext cx="1050713" cy="485774"/>
        </a:xfrm>
        <a:prstGeom prst="rect">
          <a:avLst/>
        </a:prstGeom>
        <a:solidFill>
          <a:schemeClr val="bg1"/>
        </a:solidFill>
        <a:ln>
          <a:noFill/>
        </a:ln>
      </xdr:spPr>
    </xdr:pic>
    <xdr:clientData/>
  </xdr:oneCellAnchor>
  <xdr:twoCellAnchor>
    <xdr:from>
      <xdr:col>4</xdr:col>
      <xdr:colOff>19051</xdr:colOff>
      <xdr:row>71</xdr:row>
      <xdr:rowOff>9524</xdr:rowOff>
    </xdr:from>
    <xdr:to>
      <xdr:col>4</xdr:col>
      <xdr:colOff>1857375</xdr:colOff>
      <xdr:row>74</xdr:row>
      <xdr:rowOff>38100</xdr:rowOff>
    </xdr:to>
    <xdr:sp macro="" textlink="">
      <xdr:nvSpPr>
        <xdr:cNvPr id="4" name="TextBox 3">
          <a:extLst>
            <a:ext uri="{FF2B5EF4-FFF2-40B4-BE49-F238E27FC236}">
              <a16:creationId xmlns:a16="http://schemas.microsoft.com/office/drawing/2014/main" id="{9BFECAD8-FE99-4C5A-A878-62C5E9584BC1}"/>
            </a:ext>
          </a:extLst>
        </xdr:cNvPr>
        <xdr:cNvSpPr txBox="1"/>
      </xdr:nvSpPr>
      <xdr:spPr>
        <a:xfrm>
          <a:off x="2457451" y="12582524"/>
          <a:ext cx="590549" cy="6000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i="1">
              <a:solidFill>
                <a:srgbClr val="FF0000"/>
              </a:solidFill>
            </a:rPr>
            <a:t>Estimated</a:t>
          </a:r>
          <a:r>
            <a:rPr lang="en-US" sz="1100" i="1" baseline="0">
              <a:solidFill>
                <a:srgbClr val="FF0000"/>
              </a:solidFill>
            </a:rPr>
            <a:t> mileage rates pulled from Basic Input &amp; Assumptions Tab</a:t>
          </a:r>
          <a:endParaRPr lang="en-US" sz="1100" i="1">
            <a:solidFill>
              <a:srgbClr val="FF0000"/>
            </a:solidFill>
          </a:endParaRPr>
        </a:p>
      </xdr:txBody>
    </xdr:sp>
    <xdr:clientData/>
  </xdr:twoCellAnchor>
  <xdr:twoCellAnchor>
    <xdr:from>
      <xdr:col>4</xdr:col>
      <xdr:colOff>19051</xdr:colOff>
      <xdr:row>71</xdr:row>
      <xdr:rowOff>9524</xdr:rowOff>
    </xdr:from>
    <xdr:to>
      <xdr:col>4</xdr:col>
      <xdr:colOff>1857375</xdr:colOff>
      <xdr:row>74</xdr:row>
      <xdr:rowOff>38100</xdr:rowOff>
    </xdr:to>
    <xdr:sp macro="" textlink="">
      <xdr:nvSpPr>
        <xdr:cNvPr id="3" name="TextBox 2">
          <a:extLst>
            <a:ext uri="{FF2B5EF4-FFF2-40B4-BE49-F238E27FC236}">
              <a16:creationId xmlns:a16="http://schemas.microsoft.com/office/drawing/2014/main" id="{01E2F24C-F557-45C2-A8F1-BF555FB94C34}"/>
            </a:ext>
          </a:extLst>
        </xdr:cNvPr>
        <xdr:cNvSpPr txBox="1"/>
      </xdr:nvSpPr>
      <xdr:spPr>
        <a:xfrm>
          <a:off x="4933951" y="17087849"/>
          <a:ext cx="1838324" cy="67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i="1">
              <a:solidFill>
                <a:srgbClr val="FF0000"/>
              </a:solidFill>
            </a:rPr>
            <a:t>Estimated</a:t>
          </a:r>
          <a:r>
            <a:rPr lang="en-US" sz="1100" i="1" baseline="0">
              <a:solidFill>
                <a:srgbClr val="FF0000"/>
              </a:solidFill>
            </a:rPr>
            <a:t> mileage rates pulled from Basic Input &amp; Assumptions Tab</a:t>
          </a:r>
          <a:endParaRPr lang="en-US" sz="1100" i="1">
            <a:solidFill>
              <a:srgbClr val="FF0000"/>
            </a:solidFill>
          </a:endParaRPr>
        </a:p>
      </xdr:txBody>
    </xdr:sp>
    <xdr:clientData/>
  </xdr:twoCellAnchor>
  <xdr:twoCellAnchor>
    <xdr:from>
      <xdr:col>4</xdr:col>
      <xdr:colOff>19051</xdr:colOff>
      <xdr:row>71</xdr:row>
      <xdr:rowOff>9524</xdr:rowOff>
    </xdr:from>
    <xdr:to>
      <xdr:col>4</xdr:col>
      <xdr:colOff>1857375</xdr:colOff>
      <xdr:row>74</xdr:row>
      <xdr:rowOff>38100</xdr:rowOff>
    </xdr:to>
    <xdr:sp macro="" textlink="">
      <xdr:nvSpPr>
        <xdr:cNvPr id="6" name="TextBox 5">
          <a:extLst>
            <a:ext uri="{FF2B5EF4-FFF2-40B4-BE49-F238E27FC236}">
              <a16:creationId xmlns:a16="http://schemas.microsoft.com/office/drawing/2014/main" id="{7C20E9E6-BB47-4733-A518-B08299FE4C99}"/>
            </a:ext>
          </a:extLst>
        </xdr:cNvPr>
        <xdr:cNvSpPr txBox="1"/>
      </xdr:nvSpPr>
      <xdr:spPr>
        <a:xfrm>
          <a:off x="4933951" y="17087849"/>
          <a:ext cx="1838324" cy="676276"/>
        </a:xfrm>
        <a:prstGeom prst="rect">
          <a:avLst/>
        </a:prstGeom>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ctr"/>
        <a:lstStyle/>
        <a:p>
          <a:r>
            <a:rPr lang="en-US" sz="1100" i="0">
              <a:solidFill>
                <a:schemeClr val="bg1"/>
              </a:solidFill>
            </a:rPr>
            <a:t>Estimated</a:t>
          </a:r>
          <a:r>
            <a:rPr lang="en-US" sz="1100" i="0" baseline="0">
              <a:solidFill>
                <a:schemeClr val="bg1"/>
              </a:solidFill>
            </a:rPr>
            <a:t> mileage rates pulled from Basic Input &amp; Assumptions Tab</a:t>
          </a:r>
          <a:endParaRPr lang="en-US" sz="1100" i="0">
            <a:solidFill>
              <a:schemeClr val="bg1"/>
            </a:solidFill>
          </a:endParaRPr>
        </a:p>
      </xdr:txBody>
    </xdr:sp>
    <xdr:clientData/>
  </xdr:twoCellAnchor>
  <xdr:twoCellAnchor>
    <xdr:from>
      <xdr:col>8</xdr:col>
      <xdr:colOff>676275</xdr:colOff>
      <xdr:row>4</xdr:row>
      <xdr:rowOff>161925</xdr:rowOff>
    </xdr:from>
    <xdr:to>
      <xdr:col>10</xdr:col>
      <xdr:colOff>76200</xdr:colOff>
      <xdr:row>4</xdr:row>
      <xdr:rowOff>2200275</xdr:rowOff>
    </xdr:to>
    <xdr:sp macro="" textlink="">
      <xdr:nvSpPr>
        <xdr:cNvPr id="5" name="TextBox 4">
          <a:hlinkClick xmlns:r="http://schemas.openxmlformats.org/officeDocument/2006/relationships" r:id="rId2"/>
          <a:extLst>
            <a:ext uri="{FF2B5EF4-FFF2-40B4-BE49-F238E27FC236}">
              <a16:creationId xmlns:a16="http://schemas.microsoft.com/office/drawing/2014/main" id="{E3E16734-6339-288F-5E01-C531E9F081E0}"/>
            </a:ext>
          </a:extLst>
        </xdr:cNvPr>
        <xdr:cNvSpPr txBox="1"/>
      </xdr:nvSpPr>
      <xdr:spPr>
        <a:xfrm>
          <a:off x="10906125" y="1123950"/>
          <a:ext cx="2676525" cy="20383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rgbClr val="FF0000"/>
              </a:solidFill>
            </a:rPr>
            <a:t>Click here to view TSS resources and references, including the list of core services most commonly included in Tenancy Support Services.</a:t>
          </a:r>
        </a:p>
      </xdr:txBody>
    </xdr:sp>
    <xdr:clientData/>
  </xdr:twoCellAnchor>
  <xdr:twoCellAnchor>
    <xdr:from>
      <xdr:col>6</xdr:col>
      <xdr:colOff>9525</xdr:colOff>
      <xdr:row>101</xdr:row>
      <xdr:rowOff>57149</xdr:rowOff>
    </xdr:from>
    <xdr:to>
      <xdr:col>7</xdr:col>
      <xdr:colOff>47625</xdr:colOff>
      <xdr:row>104</xdr:row>
      <xdr:rowOff>57150</xdr:rowOff>
    </xdr:to>
    <xdr:grpSp>
      <xdr:nvGrpSpPr>
        <xdr:cNvPr id="15" name="Group 14">
          <a:extLst>
            <a:ext uri="{FF2B5EF4-FFF2-40B4-BE49-F238E27FC236}">
              <a16:creationId xmlns:a16="http://schemas.microsoft.com/office/drawing/2014/main" id="{7120DFCE-8678-46D2-A5E8-48B602DC25C7}"/>
            </a:ext>
          </a:extLst>
        </xdr:cNvPr>
        <xdr:cNvGrpSpPr/>
      </xdr:nvGrpSpPr>
      <xdr:grpSpPr>
        <a:xfrm>
          <a:off x="8439150" y="24330024"/>
          <a:ext cx="1736725" cy="619126"/>
          <a:chOff x="8543925" y="22593299"/>
          <a:chExt cx="1733550" cy="628651"/>
        </a:xfrm>
      </xdr:grpSpPr>
      <xdr:sp macro="" textlink="">
        <xdr:nvSpPr>
          <xdr:cNvPr id="16" name="Rectangle 15">
            <a:extLst>
              <a:ext uri="{FF2B5EF4-FFF2-40B4-BE49-F238E27FC236}">
                <a16:creationId xmlns:a16="http://schemas.microsoft.com/office/drawing/2014/main" id="{ECA0E5A4-93D8-0397-AE11-0728C981A97D}"/>
              </a:ext>
            </a:extLst>
          </xdr:cNvPr>
          <xdr:cNvSpPr/>
        </xdr:nvSpPr>
        <xdr:spPr>
          <a:xfrm>
            <a:off x="8848725" y="22593299"/>
            <a:ext cx="1428750" cy="62865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Your overall annual profit or loss (red</a:t>
            </a:r>
            <a:r>
              <a:rPr lang="en-US" sz="1100" baseline="0"/>
              <a:t> parenthese is a loss)</a:t>
            </a:r>
            <a:endParaRPr lang="en-US" sz="1100"/>
          </a:p>
        </xdr:txBody>
      </xdr:sp>
      <xdr:cxnSp macro="">
        <xdr:nvCxnSpPr>
          <xdr:cNvPr id="17" name="Straight Arrow Connector 16">
            <a:extLst>
              <a:ext uri="{FF2B5EF4-FFF2-40B4-BE49-F238E27FC236}">
                <a16:creationId xmlns:a16="http://schemas.microsoft.com/office/drawing/2014/main" id="{8F0AAEA1-5169-9ACB-1B93-23950E853FE3}"/>
              </a:ext>
            </a:extLst>
          </xdr:cNvPr>
          <xdr:cNvCxnSpPr>
            <a:stCxn id="16" idx="1"/>
          </xdr:cNvCxnSpPr>
        </xdr:nvCxnSpPr>
        <xdr:spPr>
          <a:xfrm flipH="1" flipV="1">
            <a:off x="8543925" y="22888575"/>
            <a:ext cx="304800" cy="19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1657350</xdr:colOff>
      <xdr:row>92</xdr:row>
      <xdr:rowOff>76200</xdr:rowOff>
    </xdr:from>
    <xdr:to>
      <xdr:col>6</xdr:col>
      <xdr:colOff>1400175</xdr:colOff>
      <xdr:row>94</xdr:row>
      <xdr:rowOff>200026</xdr:rowOff>
    </xdr:to>
    <xdr:grpSp>
      <xdr:nvGrpSpPr>
        <xdr:cNvPr id="18" name="Group 17">
          <a:extLst>
            <a:ext uri="{FF2B5EF4-FFF2-40B4-BE49-F238E27FC236}">
              <a16:creationId xmlns:a16="http://schemas.microsoft.com/office/drawing/2014/main" id="{A3DF2B81-A159-4E3F-80B5-710F7959F82F}"/>
            </a:ext>
          </a:extLst>
        </xdr:cNvPr>
        <xdr:cNvGrpSpPr/>
      </xdr:nvGrpSpPr>
      <xdr:grpSpPr>
        <a:xfrm>
          <a:off x="8285163" y="22523450"/>
          <a:ext cx="1544637" cy="528639"/>
          <a:chOff x="8391525" y="20774025"/>
          <a:chExt cx="1543050" cy="533401"/>
        </a:xfrm>
      </xdr:grpSpPr>
      <xdr:sp macro="" textlink="">
        <xdr:nvSpPr>
          <xdr:cNvPr id="19" name="Rectangle 18">
            <a:extLst>
              <a:ext uri="{FF2B5EF4-FFF2-40B4-BE49-F238E27FC236}">
                <a16:creationId xmlns:a16="http://schemas.microsoft.com/office/drawing/2014/main" id="{3BEDC41E-B474-90D5-D7EF-1317F0871149}"/>
              </a:ext>
            </a:extLst>
          </xdr:cNvPr>
          <xdr:cNvSpPr/>
        </xdr:nvSpPr>
        <xdr:spPr>
          <a:xfrm>
            <a:off x="8620125" y="20831176"/>
            <a:ext cx="1314450" cy="4762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Your overall annual</a:t>
            </a:r>
            <a:r>
              <a:rPr lang="en-US" sz="1100" baseline="0"/>
              <a:t> program costs</a:t>
            </a:r>
            <a:endParaRPr lang="en-US" sz="1100"/>
          </a:p>
        </xdr:txBody>
      </xdr:sp>
      <xdr:cxnSp macro="">
        <xdr:nvCxnSpPr>
          <xdr:cNvPr id="20" name="Straight Arrow Connector 19">
            <a:extLst>
              <a:ext uri="{FF2B5EF4-FFF2-40B4-BE49-F238E27FC236}">
                <a16:creationId xmlns:a16="http://schemas.microsoft.com/office/drawing/2014/main" id="{99C2AE41-52D7-F227-C49E-B3E491E9A85F}"/>
              </a:ext>
            </a:extLst>
          </xdr:cNvPr>
          <xdr:cNvCxnSpPr>
            <a:stCxn id="19" idx="1"/>
          </xdr:cNvCxnSpPr>
        </xdr:nvCxnSpPr>
        <xdr:spPr>
          <a:xfrm flipH="1" flipV="1">
            <a:off x="8391525" y="20774025"/>
            <a:ext cx="228600" cy="29527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10583</xdr:colOff>
      <xdr:row>1</xdr:row>
      <xdr:rowOff>84667</xdr:rowOff>
    </xdr:from>
    <xdr:to>
      <xdr:col>2</xdr:col>
      <xdr:colOff>764963</xdr:colOff>
      <xdr:row>2</xdr:row>
      <xdr:rowOff>116416</xdr:rowOff>
    </xdr:to>
    <xdr:pic>
      <xdr:nvPicPr>
        <xdr:cNvPr id="4" name="Picture 3" descr="C:\Users\lauren.fulton\Downloads\CSH Logo Full Color (1).png">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083" y="285750"/>
          <a:ext cx="952500" cy="486833"/>
        </a:xfrm>
        <a:prstGeom prst="rect">
          <a:avLst/>
        </a:prstGeom>
        <a:solidFill>
          <a:schemeClr val="bg1"/>
        </a:solidFill>
        <a:ln>
          <a:noFill/>
        </a:ln>
      </xdr:spPr>
    </xdr:pic>
    <xdr:clientData/>
  </xdr:twoCellAnchor>
  <xdr:twoCellAnchor>
    <xdr:from>
      <xdr:col>4</xdr:col>
      <xdr:colOff>19051</xdr:colOff>
      <xdr:row>66</xdr:row>
      <xdr:rowOff>9524</xdr:rowOff>
    </xdr:from>
    <xdr:to>
      <xdr:col>4</xdr:col>
      <xdr:colOff>1857375</xdr:colOff>
      <xdr:row>69</xdr:row>
      <xdr:rowOff>38100</xdr:rowOff>
    </xdr:to>
    <xdr:sp macro="" textlink="">
      <xdr:nvSpPr>
        <xdr:cNvPr id="3" name="TextBox 2">
          <a:extLst>
            <a:ext uri="{FF2B5EF4-FFF2-40B4-BE49-F238E27FC236}">
              <a16:creationId xmlns:a16="http://schemas.microsoft.com/office/drawing/2014/main" id="{CF4DFEF9-E963-4DDC-875A-44DC9E459CC9}"/>
            </a:ext>
          </a:extLst>
        </xdr:cNvPr>
        <xdr:cNvSpPr txBox="1"/>
      </xdr:nvSpPr>
      <xdr:spPr>
        <a:xfrm>
          <a:off x="4867276" y="16116299"/>
          <a:ext cx="1838324" cy="67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i="1">
              <a:solidFill>
                <a:srgbClr val="FF0000"/>
              </a:solidFill>
            </a:rPr>
            <a:t>Estimated</a:t>
          </a:r>
          <a:r>
            <a:rPr lang="en-US" sz="1100" i="1" baseline="0">
              <a:solidFill>
                <a:srgbClr val="FF0000"/>
              </a:solidFill>
            </a:rPr>
            <a:t> mileage rates pulled from Basic Input &amp; Assumptions Tab</a:t>
          </a:r>
          <a:endParaRPr lang="en-US" sz="1100" i="1">
            <a:solidFill>
              <a:srgbClr val="FF0000"/>
            </a:solidFill>
          </a:endParaRPr>
        </a:p>
      </xdr:txBody>
    </xdr:sp>
    <xdr:clientData/>
  </xdr:twoCellAnchor>
  <xdr:twoCellAnchor>
    <xdr:from>
      <xdr:col>4</xdr:col>
      <xdr:colOff>19051</xdr:colOff>
      <xdr:row>66</xdr:row>
      <xdr:rowOff>9524</xdr:rowOff>
    </xdr:from>
    <xdr:to>
      <xdr:col>4</xdr:col>
      <xdr:colOff>1857375</xdr:colOff>
      <xdr:row>69</xdr:row>
      <xdr:rowOff>38100</xdr:rowOff>
    </xdr:to>
    <xdr:sp macro="" textlink="">
      <xdr:nvSpPr>
        <xdr:cNvPr id="2" name="TextBox 1">
          <a:extLst>
            <a:ext uri="{FF2B5EF4-FFF2-40B4-BE49-F238E27FC236}">
              <a16:creationId xmlns:a16="http://schemas.microsoft.com/office/drawing/2014/main" id="{E345EE10-4C47-4D9B-8CE3-55B8FD066E4E}"/>
            </a:ext>
          </a:extLst>
        </xdr:cNvPr>
        <xdr:cNvSpPr txBox="1"/>
      </xdr:nvSpPr>
      <xdr:spPr>
        <a:xfrm>
          <a:off x="4867276" y="16316324"/>
          <a:ext cx="1762124" cy="67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i="1">
              <a:solidFill>
                <a:srgbClr val="FF0000"/>
              </a:solidFill>
            </a:rPr>
            <a:t>Estimated</a:t>
          </a:r>
          <a:r>
            <a:rPr lang="en-US" sz="1100" i="1" baseline="0">
              <a:solidFill>
                <a:srgbClr val="FF0000"/>
              </a:solidFill>
            </a:rPr>
            <a:t> mileage rates pulled from Basic Input &amp; Assumptions Tab</a:t>
          </a:r>
          <a:endParaRPr lang="en-US" sz="1100" i="1">
            <a:solidFill>
              <a:srgbClr val="FF0000"/>
            </a:solidFill>
          </a:endParaRPr>
        </a:p>
      </xdr:txBody>
    </xdr:sp>
    <xdr:clientData/>
  </xdr:twoCellAnchor>
  <xdr:twoCellAnchor>
    <xdr:from>
      <xdr:col>4</xdr:col>
      <xdr:colOff>19051</xdr:colOff>
      <xdr:row>66</xdr:row>
      <xdr:rowOff>9524</xdr:rowOff>
    </xdr:from>
    <xdr:to>
      <xdr:col>4</xdr:col>
      <xdr:colOff>1857375</xdr:colOff>
      <xdr:row>69</xdr:row>
      <xdr:rowOff>38100</xdr:rowOff>
    </xdr:to>
    <xdr:sp macro="" textlink="">
      <xdr:nvSpPr>
        <xdr:cNvPr id="5" name="TextBox 4">
          <a:extLst>
            <a:ext uri="{FF2B5EF4-FFF2-40B4-BE49-F238E27FC236}">
              <a16:creationId xmlns:a16="http://schemas.microsoft.com/office/drawing/2014/main" id="{C4AB193B-A28E-4635-BF7E-4FFB0E214995}"/>
            </a:ext>
          </a:extLst>
        </xdr:cNvPr>
        <xdr:cNvSpPr txBox="1"/>
      </xdr:nvSpPr>
      <xdr:spPr>
        <a:xfrm>
          <a:off x="4867276" y="16316324"/>
          <a:ext cx="1762124" cy="67627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i="1">
              <a:solidFill>
                <a:srgbClr val="FF0000"/>
              </a:solidFill>
            </a:rPr>
            <a:t>Estimated</a:t>
          </a:r>
          <a:r>
            <a:rPr lang="en-US" sz="1100" i="1" baseline="0">
              <a:solidFill>
                <a:srgbClr val="FF0000"/>
              </a:solidFill>
            </a:rPr>
            <a:t> mileage rates pulled from Basic Input &amp; Assumptions Tab</a:t>
          </a:r>
          <a:endParaRPr lang="en-US" sz="1100" i="1">
            <a:solidFill>
              <a:srgbClr val="FF0000"/>
            </a:solidFill>
          </a:endParaRPr>
        </a:p>
      </xdr:txBody>
    </xdr:sp>
    <xdr:clientData/>
  </xdr:twoCellAnchor>
  <xdr:twoCellAnchor>
    <xdr:from>
      <xdr:col>4</xdr:col>
      <xdr:colOff>19051</xdr:colOff>
      <xdr:row>66</xdr:row>
      <xdr:rowOff>9524</xdr:rowOff>
    </xdr:from>
    <xdr:to>
      <xdr:col>5</xdr:col>
      <xdr:colOff>0</xdr:colOff>
      <xdr:row>69</xdr:row>
      <xdr:rowOff>38100</xdr:rowOff>
    </xdr:to>
    <xdr:sp macro="" textlink="">
      <xdr:nvSpPr>
        <xdr:cNvPr id="6" name="TextBox 5">
          <a:extLst>
            <a:ext uri="{FF2B5EF4-FFF2-40B4-BE49-F238E27FC236}">
              <a16:creationId xmlns:a16="http://schemas.microsoft.com/office/drawing/2014/main" id="{91696326-46AD-4DDF-8280-8FA03084E455}"/>
            </a:ext>
          </a:extLst>
        </xdr:cNvPr>
        <xdr:cNvSpPr txBox="1"/>
      </xdr:nvSpPr>
      <xdr:spPr>
        <a:xfrm>
          <a:off x="4800601" y="15097124"/>
          <a:ext cx="1838324" cy="676276"/>
        </a:xfrm>
        <a:prstGeom prst="rect">
          <a:avLst/>
        </a:prstGeom>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ctr"/>
        <a:lstStyle/>
        <a:p>
          <a:r>
            <a:rPr lang="en-US" sz="1100" i="0">
              <a:solidFill>
                <a:schemeClr val="bg1"/>
              </a:solidFill>
            </a:rPr>
            <a:t>Estimated</a:t>
          </a:r>
          <a:r>
            <a:rPr lang="en-US" sz="1100" i="0" baseline="0">
              <a:solidFill>
                <a:schemeClr val="bg1"/>
              </a:solidFill>
            </a:rPr>
            <a:t> mileage rates pulled from Basic Input &amp; Assumptions Tab</a:t>
          </a:r>
          <a:endParaRPr lang="en-US" sz="1100" i="0">
            <a:solidFill>
              <a:schemeClr val="bg1"/>
            </a:solidFill>
          </a:endParaRPr>
        </a:p>
      </xdr:txBody>
    </xdr:sp>
    <xdr:clientData/>
  </xdr:twoCellAnchor>
  <xdr:twoCellAnchor>
    <xdr:from>
      <xdr:col>8</xdr:col>
      <xdr:colOff>438150</xdr:colOff>
      <xdr:row>4</xdr:row>
      <xdr:rowOff>85725</xdr:rowOff>
    </xdr:from>
    <xdr:to>
      <xdr:col>9</xdr:col>
      <xdr:colOff>1000125</xdr:colOff>
      <xdr:row>4</xdr:row>
      <xdr:rowOff>1781175</xdr:rowOff>
    </xdr:to>
    <xdr:sp macro="" textlink="">
      <xdr:nvSpPr>
        <xdr:cNvPr id="7" name="TextBox 6">
          <a:hlinkClick xmlns:r="http://schemas.openxmlformats.org/officeDocument/2006/relationships" r:id="rId2"/>
          <a:extLst>
            <a:ext uri="{FF2B5EF4-FFF2-40B4-BE49-F238E27FC236}">
              <a16:creationId xmlns:a16="http://schemas.microsoft.com/office/drawing/2014/main" id="{97B8DFEF-49B1-219F-9B32-7B4F3646F3AC}"/>
            </a:ext>
          </a:extLst>
        </xdr:cNvPr>
        <xdr:cNvSpPr txBox="1"/>
      </xdr:nvSpPr>
      <xdr:spPr>
        <a:xfrm>
          <a:off x="10782300" y="1114425"/>
          <a:ext cx="2219325" cy="16954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1">
              <a:solidFill>
                <a:srgbClr val="FF0000"/>
              </a:solidFill>
            </a:rPr>
            <a:t>Click here to view more resources and references on the CTI model</a:t>
          </a:r>
        </a:p>
      </xdr:txBody>
    </xdr:sp>
    <xdr:clientData/>
  </xdr:twoCellAnchor>
  <xdr:twoCellAnchor>
    <xdr:from>
      <xdr:col>6</xdr:col>
      <xdr:colOff>47625</xdr:colOff>
      <xdr:row>96</xdr:row>
      <xdr:rowOff>28574</xdr:rowOff>
    </xdr:from>
    <xdr:to>
      <xdr:col>7</xdr:col>
      <xdr:colOff>47625</xdr:colOff>
      <xdr:row>99</xdr:row>
      <xdr:rowOff>28575</xdr:rowOff>
    </xdr:to>
    <xdr:grpSp>
      <xdr:nvGrpSpPr>
        <xdr:cNvPr id="24" name="Group 23">
          <a:extLst>
            <a:ext uri="{FF2B5EF4-FFF2-40B4-BE49-F238E27FC236}">
              <a16:creationId xmlns:a16="http://schemas.microsoft.com/office/drawing/2014/main" id="{D0E66489-712C-39E1-1144-CAED29613F80}"/>
            </a:ext>
          </a:extLst>
        </xdr:cNvPr>
        <xdr:cNvGrpSpPr/>
      </xdr:nvGrpSpPr>
      <xdr:grpSpPr>
        <a:xfrm>
          <a:off x="8543925" y="22793324"/>
          <a:ext cx="1733550" cy="628651"/>
          <a:chOff x="8543925" y="22593299"/>
          <a:chExt cx="1733550" cy="628651"/>
        </a:xfrm>
      </xdr:grpSpPr>
      <xdr:sp macro="" textlink="">
        <xdr:nvSpPr>
          <xdr:cNvPr id="16" name="Rectangle 15">
            <a:extLst>
              <a:ext uri="{FF2B5EF4-FFF2-40B4-BE49-F238E27FC236}">
                <a16:creationId xmlns:a16="http://schemas.microsoft.com/office/drawing/2014/main" id="{D567A7C7-2864-321F-31A5-2F1FB2BAE522}"/>
              </a:ext>
            </a:extLst>
          </xdr:cNvPr>
          <xdr:cNvSpPr/>
        </xdr:nvSpPr>
        <xdr:spPr>
          <a:xfrm>
            <a:off x="8848725" y="22593299"/>
            <a:ext cx="1428750" cy="62865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Your overall annual profit or loss (red</a:t>
            </a:r>
            <a:r>
              <a:rPr lang="en-US" sz="1100" baseline="0"/>
              <a:t> parenthese is a loss)</a:t>
            </a:r>
            <a:endParaRPr lang="en-US" sz="1100"/>
          </a:p>
        </xdr:txBody>
      </xdr:sp>
      <xdr:cxnSp macro="">
        <xdr:nvCxnSpPr>
          <xdr:cNvPr id="19" name="Straight Arrow Connector 18">
            <a:extLst>
              <a:ext uri="{FF2B5EF4-FFF2-40B4-BE49-F238E27FC236}">
                <a16:creationId xmlns:a16="http://schemas.microsoft.com/office/drawing/2014/main" id="{ADB9D5DA-CBDD-4B73-6414-E001E1EE63A9}"/>
              </a:ext>
            </a:extLst>
          </xdr:cNvPr>
          <xdr:cNvCxnSpPr>
            <a:stCxn id="16" idx="1"/>
          </xdr:cNvCxnSpPr>
        </xdr:nvCxnSpPr>
        <xdr:spPr>
          <a:xfrm flipH="1" flipV="1">
            <a:off x="8543925" y="22888575"/>
            <a:ext cx="304800" cy="19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1752600</xdr:colOff>
      <xdr:row>87</xdr:row>
      <xdr:rowOff>47625</xdr:rowOff>
    </xdr:from>
    <xdr:to>
      <xdr:col>6</xdr:col>
      <xdr:colOff>1438275</xdr:colOff>
      <xdr:row>89</xdr:row>
      <xdr:rowOff>171451</xdr:rowOff>
    </xdr:to>
    <xdr:grpSp>
      <xdr:nvGrpSpPr>
        <xdr:cNvPr id="23" name="Group 22">
          <a:extLst>
            <a:ext uri="{FF2B5EF4-FFF2-40B4-BE49-F238E27FC236}">
              <a16:creationId xmlns:a16="http://schemas.microsoft.com/office/drawing/2014/main" id="{EAFE953F-0A21-3C08-EBF3-89648959282F}"/>
            </a:ext>
          </a:extLst>
        </xdr:cNvPr>
        <xdr:cNvGrpSpPr/>
      </xdr:nvGrpSpPr>
      <xdr:grpSpPr>
        <a:xfrm>
          <a:off x="8391525" y="20974050"/>
          <a:ext cx="1543050" cy="533401"/>
          <a:chOff x="8391525" y="20774025"/>
          <a:chExt cx="1543050" cy="533401"/>
        </a:xfrm>
      </xdr:grpSpPr>
      <xdr:sp macro="" textlink="">
        <xdr:nvSpPr>
          <xdr:cNvPr id="17" name="Rectangle 16">
            <a:extLst>
              <a:ext uri="{FF2B5EF4-FFF2-40B4-BE49-F238E27FC236}">
                <a16:creationId xmlns:a16="http://schemas.microsoft.com/office/drawing/2014/main" id="{AE9FC5CC-6D8F-464F-B843-A71635A2B6DB}"/>
              </a:ext>
            </a:extLst>
          </xdr:cNvPr>
          <xdr:cNvSpPr/>
        </xdr:nvSpPr>
        <xdr:spPr>
          <a:xfrm>
            <a:off x="8620125" y="20831176"/>
            <a:ext cx="1314450" cy="4762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Your overall annual</a:t>
            </a:r>
            <a:r>
              <a:rPr lang="en-US" sz="1100" baseline="0"/>
              <a:t> program costs</a:t>
            </a:r>
            <a:endParaRPr lang="en-US" sz="1100"/>
          </a:p>
        </xdr:txBody>
      </xdr:sp>
      <xdr:cxnSp macro="">
        <xdr:nvCxnSpPr>
          <xdr:cNvPr id="21" name="Straight Arrow Connector 20">
            <a:extLst>
              <a:ext uri="{FF2B5EF4-FFF2-40B4-BE49-F238E27FC236}">
                <a16:creationId xmlns:a16="http://schemas.microsoft.com/office/drawing/2014/main" id="{AB53CAE0-DCC4-5391-470A-5C2E2283A3CD}"/>
              </a:ext>
            </a:extLst>
          </xdr:cNvPr>
          <xdr:cNvCxnSpPr>
            <a:stCxn id="17" idx="1"/>
          </xdr:cNvCxnSpPr>
        </xdr:nvCxnSpPr>
        <xdr:spPr>
          <a:xfrm flipH="1" flipV="1">
            <a:off x="8391525" y="20774025"/>
            <a:ext cx="228600" cy="29527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101600</xdr:colOff>
      <xdr:row>1</xdr:row>
      <xdr:rowOff>73025</xdr:rowOff>
    </xdr:from>
    <xdr:to>
      <xdr:col>1</xdr:col>
      <xdr:colOff>911013</xdr:colOff>
      <xdr:row>2</xdr:row>
      <xdr:rowOff>271650</xdr:rowOff>
    </xdr:to>
    <xdr:pic>
      <xdr:nvPicPr>
        <xdr:cNvPr id="2" name="Picture 1" descr="C:\Users\lauren.fulton\Downloads\CSH Logo Full Color (1).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00" y="273050"/>
          <a:ext cx="1076113" cy="493900"/>
        </a:xfrm>
        <a:prstGeom prst="rect">
          <a:avLst/>
        </a:prstGeom>
        <a:solidFill>
          <a:schemeClr val="bg1"/>
        </a:solid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57:F70" totalsRowShown="0" headerRowDxfId="30" dataDxfId="29">
  <tableColumns count="4">
    <tableColumn id="2" xr3:uid="{00000000-0010-0000-0000-000002000000}" name="Percent of Budget covered by Grant Funding " dataDxfId="28" dataCellStyle="Percent"/>
    <tableColumn id="3" xr3:uid="{00000000-0010-0000-0000-000003000000}" name="Percent of Budget covered by Medicaid Reimbursement" dataDxfId="27" dataCellStyle="Percent"/>
    <tableColumn id="4" xr3:uid="{00000000-0010-0000-0000-000004000000}" name="Anticipated Grant Funding" dataDxfId="26" dataCellStyle="Currency"/>
    <tableColumn id="5" xr3:uid="{00000000-0010-0000-0000-000005000000}" name="Anticipated Medicaid Reimbursement" dataDxfId="25" dataCellStyle="Currency">
      <calculatedColumnFormula>B56*Table1[[#This Row],[Percent of Budget covered by Medicaid Reimbursement]]</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sh.org/contact-us/" TargetMode="External"/><Relationship Id="rId2" Type="http://schemas.openxmlformats.org/officeDocument/2006/relationships/hyperlink" Target="https://www.csh.org/csh-solutions/training-professional-development/" TargetMode="External"/><Relationship Id="rId1" Type="http://schemas.openxmlformats.org/officeDocument/2006/relationships/hyperlink" Target="mailto:consulting@csh.org?subject=CSH%20Services%20Budget%20Tool%20Question"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rpsh1.sharepoint.com/:b:/s/Extranet2/EQ1uUIsQvrxCmHnYgDKDADQBzwZIoZT7EnN1ESbtdDmmog?e=dEOmQx" TargetMode="External"/></Relationships>
</file>

<file path=xl/worksheets/_rels/sheet10.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s://www.hhs.gov/hipaa/for-professionals/faq/index.html" TargetMode="External"/><Relationship Id="rId7" Type="http://schemas.openxmlformats.org/officeDocument/2006/relationships/table" Target="../tables/table1.xml"/><Relationship Id="rId2" Type="http://schemas.openxmlformats.org/officeDocument/2006/relationships/hyperlink" Target="https://www.google.com/nonprofits/offerings/apps-for-nonprofits/" TargetMode="External"/><Relationship Id="rId1" Type="http://schemas.openxmlformats.org/officeDocument/2006/relationships/hyperlink" Target="https://www.hhs.gov/hipaa/for-professionals/faq/2001/is-the-use-of-encryption-mandatory-in-the-security-rule/index.html" TargetMode="External"/><Relationship Id="rId6" Type="http://schemas.openxmlformats.org/officeDocument/2006/relationships/vmlDrawing" Target="../drawings/vmlDrawing6.vml"/><Relationship Id="rId5" Type="http://schemas.openxmlformats.org/officeDocument/2006/relationships/drawing" Target="../drawings/drawing10.xml"/><Relationship Id="rId4"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csh.org/supportive-services-budget-tool/" TargetMode="External"/><Relationship Id="rId7" Type="http://schemas.openxmlformats.org/officeDocument/2006/relationships/drawing" Target="../drawings/drawing4.xml"/><Relationship Id="rId2" Type="http://schemas.openxmlformats.org/officeDocument/2006/relationships/hyperlink" Target="https://www.csh.org/supportive-services-budget-tool/" TargetMode="External"/><Relationship Id="rId1" Type="http://schemas.openxmlformats.org/officeDocument/2006/relationships/hyperlink" Target="https://www.csh.org/supportive-services-budget-tool/" TargetMode="External"/><Relationship Id="rId6" Type="http://schemas.openxmlformats.org/officeDocument/2006/relationships/printerSettings" Target="../printerSettings/printerSettings3.bin"/><Relationship Id="rId5" Type="http://schemas.openxmlformats.org/officeDocument/2006/relationships/hyperlink" Target="https://www.csh.org/wp-content/uploads/2023/06/ACT_Quality-Supportive-Housing-Service-Staffing-Models.pdf" TargetMode="External"/><Relationship Id="rId4" Type="http://schemas.openxmlformats.org/officeDocument/2006/relationships/hyperlink" Target="https://www.csh.org/supportive-services-budget-tool/"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AB33"/>
  <sheetViews>
    <sheetView showGridLines="0" showRowColHeaders="0" tabSelected="1" zoomScaleNormal="100" zoomScaleSheetLayoutView="120" workbookViewId="0">
      <selection activeCell="B13" sqref="B13:C13"/>
    </sheetView>
  </sheetViews>
  <sheetFormatPr defaultColWidth="9.140625" defaultRowHeight="15.75"/>
  <cols>
    <col min="1" max="1" width="2.85546875" style="19" customWidth="1"/>
    <col min="2" max="2" width="8.5703125" style="19" customWidth="1"/>
    <col min="3" max="3" width="9.140625" style="19"/>
    <col min="4" max="4" width="10.140625" style="19" customWidth="1"/>
    <col min="5" max="7" width="9.140625" style="19"/>
    <col min="8" max="8" width="9" style="19" customWidth="1"/>
    <col min="9" max="10" width="9.140625" style="19"/>
    <col min="11" max="11" width="4.7109375" style="19" customWidth="1"/>
    <col min="12" max="30" width="9.140625" style="19"/>
    <col min="31" max="31" width="12" style="19" customWidth="1"/>
    <col min="32" max="16384" width="9.140625" style="19"/>
  </cols>
  <sheetData>
    <row r="1" spans="1:28" s="18" customFormat="1">
      <c r="A1" s="16"/>
      <c r="B1" s="17"/>
      <c r="C1" s="17"/>
    </row>
    <row r="8" spans="1:28" ht="18.75">
      <c r="B8" s="28" t="s">
        <v>413</v>
      </c>
    </row>
    <row r="9" spans="1:28" ht="123.75" customHeight="1">
      <c r="B9" s="651" t="s">
        <v>411</v>
      </c>
      <c r="C9" s="651"/>
      <c r="D9" s="651"/>
      <c r="E9" s="651"/>
      <c r="F9" s="651"/>
      <c r="G9" s="651"/>
      <c r="H9" s="651"/>
      <c r="I9" s="651"/>
      <c r="J9" s="651"/>
      <c r="K9" s="651"/>
      <c r="L9" s="651"/>
      <c r="M9" s="651"/>
      <c r="N9" s="651"/>
      <c r="O9" s="651"/>
      <c r="P9" s="651"/>
      <c r="Q9" s="651"/>
      <c r="R9" s="651"/>
      <c r="S9" s="651"/>
      <c r="T9" s="651"/>
      <c r="U9" s="651"/>
      <c r="V9" s="651"/>
      <c r="W9" s="651"/>
      <c r="X9" s="651"/>
      <c r="Y9" s="54"/>
      <c r="Z9" s="54"/>
      <c r="AA9" s="54"/>
      <c r="AB9" s="54"/>
    </row>
    <row r="10" spans="1:28" ht="5.25" customHeight="1">
      <c r="B10" s="61"/>
      <c r="C10" s="61"/>
      <c r="D10" s="61"/>
      <c r="E10" s="61"/>
      <c r="F10" s="61"/>
      <c r="G10" s="61"/>
      <c r="H10" s="61"/>
      <c r="I10" s="61"/>
      <c r="J10" s="61"/>
      <c r="K10" s="61"/>
      <c r="L10" s="61"/>
      <c r="M10" s="61"/>
      <c r="N10" s="61"/>
      <c r="O10" s="61"/>
      <c r="P10" s="61"/>
      <c r="Q10" s="61"/>
      <c r="R10" s="61"/>
      <c r="S10" s="61"/>
      <c r="T10" s="61"/>
      <c r="U10" s="61"/>
      <c r="V10" s="61"/>
      <c r="W10" s="61"/>
      <c r="X10" s="61"/>
      <c r="Y10" s="54"/>
      <c r="Z10" s="54"/>
      <c r="AA10" s="54"/>
      <c r="AB10" s="54"/>
    </row>
    <row r="11" spans="1:28" ht="24" customHeight="1">
      <c r="B11" s="59" t="s">
        <v>0</v>
      </c>
      <c r="E11" s="60"/>
      <c r="G11" s="60"/>
    </row>
    <row r="12" spans="1:28">
      <c r="B12" s="19" t="s">
        <v>1</v>
      </c>
    </row>
    <row r="13" spans="1:28" s="72" customFormat="1" ht="48" customHeight="1">
      <c r="B13" s="658" t="s">
        <v>2</v>
      </c>
      <c r="C13" s="658"/>
      <c r="E13" s="658" t="s">
        <v>3</v>
      </c>
      <c r="F13" s="658"/>
      <c r="G13" s="658"/>
      <c r="H13" s="658"/>
      <c r="I13" s="658"/>
      <c r="J13" s="73"/>
      <c r="K13" s="73"/>
      <c r="L13" s="658" t="s">
        <v>4</v>
      </c>
      <c r="M13" s="658"/>
      <c r="N13" s="658"/>
      <c r="O13" s="658"/>
      <c r="P13" s="73"/>
      <c r="Q13" s="73"/>
    </row>
    <row r="14" spans="1:28" ht="19.5">
      <c r="B14" s="57"/>
      <c r="C14" s="22"/>
      <c r="D14" s="22"/>
      <c r="E14" s="22"/>
      <c r="F14" s="22"/>
      <c r="G14" s="22"/>
      <c r="H14" s="58"/>
      <c r="I14" s="22"/>
      <c r="J14" s="22"/>
      <c r="K14" s="22"/>
      <c r="L14" s="22"/>
      <c r="M14" s="22"/>
      <c r="N14" s="22"/>
      <c r="O14" s="22"/>
      <c r="P14" s="22"/>
      <c r="Q14" s="22"/>
      <c r="R14" s="22"/>
      <c r="S14" s="22"/>
      <c r="T14" s="22"/>
      <c r="U14" s="22"/>
      <c r="V14" s="22"/>
      <c r="W14" s="22"/>
      <c r="X14" s="22"/>
    </row>
    <row r="15" spans="1:28" ht="4.5" customHeight="1">
      <c r="B15" s="46"/>
    </row>
    <row r="16" spans="1:28" ht="18.75">
      <c r="B16" s="40" t="s">
        <v>5</v>
      </c>
    </row>
    <row r="17" spans="2:28" ht="15.75" customHeight="1">
      <c r="B17" s="659" t="s">
        <v>6</v>
      </c>
      <c r="C17" s="659"/>
      <c r="D17" s="659"/>
      <c r="E17" s="659"/>
      <c r="F17" s="659"/>
      <c r="G17" s="659"/>
      <c r="H17" s="659"/>
      <c r="I17" s="659"/>
      <c r="J17" s="659"/>
      <c r="K17" s="659"/>
      <c r="L17" s="659"/>
      <c r="M17" s="659"/>
      <c r="N17" s="659"/>
      <c r="O17" s="659"/>
      <c r="P17" s="659"/>
      <c r="Q17" s="659"/>
      <c r="R17" s="659"/>
      <c r="S17" s="659"/>
      <c r="T17" s="659"/>
      <c r="U17" s="659"/>
      <c r="V17" s="659"/>
      <c r="W17" s="49"/>
      <c r="X17" s="49"/>
      <c r="Y17" s="49"/>
      <c r="Z17" s="49"/>
      <c r="AA17" s="49"/>
      <c r="AB17" s="49"/>
    </row>
    <row r="18" spans="2:28" ht="15.75" customHeight="1">
      <c r="B18" s="660" t="s">
        <v>7</v>
      </c>
      <c r="C18" s="660"/>
      <c r="D18" s="660"/>
      <c r="E18" s="660"/>
      <c r="F18" s="660"/>
      <c r="G18" s="660"/>
      <c r="H18" s="660"/>
      <c r="I18" s="660"/>
      <c r="J18" s="660"/>
      <c r="K18" s="660"/>
      <c r="L18" s="660"/>
      <c r="M18" s="660"/>
      <c r="N18" s="660"/>
      <c r="O18" s="660"/>
      <c r="P18" s="660"/>
      <c r="Q18" s="660"/>
      <c r="R18" s="660"/>
      <c r="S18" s="660"/>
      <c r="T18" s="660"/>
      <c r="U18" s="660"/>
      <c r="V18" s="660"/>
      <c r="W18" s="56"/>
      <c r="X18" s="56"/>
      <c r="Y18" s="56"/>
      <c r="Z18" s="56"/>
      <c r="AA18" s="56"/>
      <c r="AB18" s="56"/>
    </row>
    <row r="19" spans="2:28" ht="15.75" customHeight="1">
      <c r="B19" s="659" t="s">
        <v>8</v>
      </c>
      <c r="C19" s="659"/>
      <c r="D19" s="659"/>
      <c r="E19" s="659"/>
      <c r="F19" s="659"/>
      <c r="G19" s="659"/>
      <c r="H19" s="659"/>
      <c r="I19" s="659"/>
      <c r="J19" s="659"/>
      <c r="K19" s="659"/>
      <c r="L19" s="659"/>
      <c r="M19" s="659"/>
      <c r="N19" s="659"/>
      <c r="O19" s="659"/>
      <c r="P19" s="659"/>
      <c r="Q19" s="659"/>
      <c r="R19" s="659"/>
      <c r="S19" s="659"/>
      <c r="T19" s="659"/>
      <c r="U19" s="659"/>
      <c r="V19" s="659"/>
      <c r="W19" s="49"/>
      <c r="X19" s="49"/>
      <c r="Y19" s="49"/>
      <c r="Z19" s="49"/>
      <c r="AA19" s="49"/>
      <c r="AB19" s="49"/>
    </row>
    <row r="20" spans="2:28">
      <c r="B20" s="22"/>
      <c r="C20" s="22"/>
      <c r="D20" s="22"/>
      <c r="E20" s="22"/>
      <c r="F20" s="22"/>
      <c r="G20" s="22"/>
      <c r="H20" s="22"/>
      <c r="I20" s="22"/>
      <c r="J20" s="22"/>
      <c r="K20" s="22"/>
      <c r="L20" s="22"/>
      <c r="M20" s="22"/>
      <c r="N20" s="22"/>
      <c r="O20" s="22"/>
      <c r="P20" s="22"/>
      <c r="Q20" s="22"/>
      <c r="R20" s="22"/>
      <c r="S20" s="22"/>
      <c r="T20" s="22"/>
      <c r="U20" s="22"/>
      <c r="V20" s="22"/>
      <c r="W20" s="22"/>
      <c r="X20" s="22"/>
    </row>
    <row r="21" spans="2:28" ht="6" customHeight="1"/>
    <row r="22" spans="2:28" ht="18.75">
      <c r="B22" s="40" t="s">
        <v>9</v>
      </c>
    </row>
    <row r="23" spans="2:28" ht="5.25" customHeight="1">
      <c r="B23" s="40"/>
    </row>
    <row r="24" spans="2:28" ht="34.5" customHeight="1">
      <c r="B24" s="652" t="s">
        <v>10</v>
      </c>
      <c r="C24" s="653"/>
      <c r="D24" s="653"/>
      <c r="E24" s="653"/>
      <c r="F24" s="653"/>
      <c r="G24" s="653"/>
      <c r="H24" s="653"/>
      <c r="I24" s="654"/>
      <c r="J24" s="56"/>
      <c r="K24" s="55"/>
      <c r="L24" s="55"/>
      <c r="M24" s="55"/>
      <c r="N24" s="55"/>
      <c r="O24" s="55"/>
      <c r="P24" s="55"/>
      <c r="Q24" s="55"/>
      <c r="R24" s="47"/>
      <c r="S24" s="47"/>
      <c r="T24" s="47"/>
      <c r="U24" s="47"/>
      <c r="V24" s="47"/>
    </row>
    <row r="25" spans="2:28" ht="34.5" customHeight="1">
      <c r="B25" s="655" t="s">
        <v>11</v>
      </c>
      <c r="C25" s="656"/>
      <c r="D25" s="656"/>
      <c r="E25" s="656"/>
      <c r="F25" s="656"/>
      <c r="G25" s="656"/>
      <c r="H25" s="656"/>
      <c r="I25" s="657"/>
      <c r="J25" s="49"/>
    </row>
    <row r="26" spans="2:28" ht="36" customHeight="1">
      <c r="B26" s="647" t="s">
        <v>410</v>
      </c>
      <c r="C26" s="648"/>
      <c r="D26" s="648"/>
      <c r="E26" s="648"/>
      <c r="F26" s="648"/>
      <c r="G26" s="648"/>
      <c r="H26" s="648"/>
      <c r="I26" s="649"/>
      <c r="J26" s="56"/>
      <c r="K26" s="56"/>
      <c r="L26" s="56"/>
      <c r="M26" s="56"/>
      <c r="N26" s="56"/>
      <c r="O26" s="56"/>
      <c r="P26" s="56"/>
      <c r="Q26" s="56"/>
      <c r="R26" s="56"/>
      <c r="S26" s="56"/>
      <c r="T26" s="56"/>
      <c r="U26" s="56"/>
      <c r="V26" s="56"/>
      <c r="W26" s="55"/>
      <c r="X26" s="55"/>
      <c r="Y26" s="55"/>
      <c r="Z26" s="55"/>
    </row>
    <row r="27" spans="2:28" ht="9.75" customHeight="1">
      <c r="B27" s="56"/>
      <c r="C27" s="56"/>
      <c r="D27" s="56"/>
      <c r="E27" s="56"/>
      <c r="F27" s="56"/>
      <c r="G27" s="56"/>
      <c r="H27" s="56"/>
      <c r="I27" s="56"/>
      <c r="J27" s="56"/>
      <c r="K27" s="56"/>
      <c r="L27" s="56"/>
      <c r="M27" s="56"/>
      <c r="N27" s="56"/>
      <c r="O27" s="56"/>
      <c r="P27" s="56"/>
      <c r="Q27" s="56"/>
      <c r="R27" s="56"/>
      <c r="S27" s="56"/>
      <c r="T27" s="56"/>
      <c r="U27" s="56"/>
      <c r="V27" s="56"/>
      <c r="W27" s="55"/>
      <c r="X27" s="55"/>
      <c r="Y27" s="55"/>
      <c r="Z27" s="55"/>
    </row>
    <row r="28" spans="2:28" ht="35.1" customHeight="1">
      <c r="B28" s="650" t="s">
        <v>12</v>
      </c>
      <c r="C28" s="650"/>
      <c r="D28" s="650"/>
      <c r="E28" s="650"/>
      <c r="F28" s="650"/>
      <c r="G28" s="650"/>
      <c r="H28" s="650"/>
      <c r="I28" s="650"/>
      <c r="J28" s="650"/>
      <c r="K28" s="650"/>
      <c r="L28" s="650"/>
      <c r="M28" s="650"/>
      <c r="N28" s="650"/>
      <c r="O28" s="650"/>
      <c r="P28" s="650"/>
      <c r="Q28" s="650"/>
      <c r="R28" s="650"/>
      <c r="S28" s="650"/>
      <c r="T28" s="650"/>
      <c r="U28" s="650"/>
      <c r="V28" s="650"/>
      <c r="W28" s="650"/>
      <c r="X28" s="650"/>
      <c r="Y28" s="54"/>
      <c r="Z28" s="54"/>
      <c r="AA28" s="54"/>
      <c r="AB28" s="54"/>
    </row>
    <row r="29" spans="2:28" ht="7.5" customHeight="1">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row>
    <row r="30" spans="2:28" ht="18.75">
      <c r="B30" s="645" t="s">
        <v>13</v>
      </c>
      <c r="C30" s="645"/>
      <c r="D30" s="645"/>
      <c r="E30" s="51"/>
      <c r="F30" s="51"/>
      <c r="G30" s="51"/>
      <c r="H30" s="51"/>
      <c r="I30" s="51"/>
      <c r="J30" s="51"/>
      <c r="K30" s="51"/>
      <c r="L30" s="51"/>
      <c r="M30" s="51"/>
      <c r="N30" s="51"/>
      <c r="O30" s="51"/>
      <c r="P30" s="51"/>
      <c r="Q30" s="51"/>
      <c r="R30" s="51"/>
      <c r="S30" s="51"/>
      <c r="T30" s="51"/>
      <c r="U30" s="51"/>
      <c r="V30" s="51"/>
      <c r="W30" s="51"/>
      <c r="X30" s="51"/>
      <c r="Y30" s="51"/>
      <c r="Z30" s="51"/>
      <c r="AA30" s="51"/>
      <c r="AB30" s="51"/>
    </row>
    <row r="31" spans="2:28" ht="21.75" customHeight="1">
      <c r="B31" s="646" t="s">
        <v>14</v>
      </c>
      <c r="C31" s="646"/>
      <c r="D31" s="646"/>
      <c r="E31" s="646"/>
      <c r="F31" s="646"/>
      <c r="G31" s="646"/>
      <c r="H31" s="646"/>
      <c r="I31" s="646"/>
      <c r="J31" s="646"/>
      <c r="K31" s="646"/>
      <c r="L31" s="646"/>
      <c r="M31" s="646"/>
      <c r="N31" s="646"/>
      <c r="O31" s="646"/>
    </row>
    <row r="33" spans="2:2">
      <c r="B33" s="19" t="s">
        <v>412</v>
      </c>
    </row>
  </sheetData>
  <sheetProtection algorithmName="SHA-512" hashValue="LoTQkfg1Nil4zvVoJH25tBXKforuY3pdzxlQozIOqb+de4g7fKntrciqlH2yW3GVhoN6DyesP9hqUeKWAj0N5w==" saltValue="gc+jpRJf1YMFmZN/gsa9cA==" spinCount="100000" sheet="1" objects="1" scenarios="1"/>
  <mergeCells count="13">
    <mergeCell ref="B30:D30"/>
    <mergeCell ref="B31:O31"/>
    <mergeCell ref="B26:I26"/>
    <mergeCell ref="B28:X28"/>
    <mergeCell ref="B9:X9"/>
    <mergeCell ref="B24:I24"/>
    <mergeCell ref="B25:I25"/>
    <mergeCell ref="E13:I13"/>
    <mergeCell ref="L13:O13"/>
    <mergeCell ref="B17:V17"/>
    <mergeCell ref="B18:V18"/>
    <mergeCell ref="B19:V19"/>
    <mergeCell ref="B13:C13"/>
  </mergeCells>
  <hyperlinks>
    <hyperlink ref="B31:O31" r:id="rId1" display="Please direct all questions and concerns about the model structure to consulting@csh.org" xr:uid="{00000000-0004-0000-0000-000000000000}"/>
    <hyperlink ref="E13" r:id="rId2" display="https://www.csh.org/csh-solutions/training-professional-development/" xr:uid="{00000000-0004-0000-0000-000002000000}"/>
    <hyperlink ref="L13" r:id="rId3" xr:uid="{00000000-0004-0000-0000-000003000000}"/>
    <hyperlink ref="B13:C13" r:id="rId4" display="USER GUIDE" xr:uid="{1487D69D-33A9-4B95-AD4A-BAA57818EC79}"/>
  </hyperlinks>
  <pageMargins left="0.7" right="0.7" top="0.75" bottom="0.75" header="0.3" footer="0.3"/>
  <pageSetup scale="59" fitToHeight="0" orientation="landscape" horizontalDpi="300" verticalDpi="300" r:id="rId5"/>
  <drawing r:id="rId6"/>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A1:N74"/>
  <sheetViews>
    <sheetView topLeftCell="A4" zoomScaleNormal="100" workbookViewId="0">
      <selection activeCell="H16" sqref="H16"/>
    </sheetView>
  </sheetViews>
  <sheetFormatPr defaultColWidth="8.7109375" defaultRowHeight="12.75"/>
  <cols>
    <col min="1" max="1" width="7.28515625" style="335" customWidth="1"/>
    <col min="2" max="2" width="38.85546875" style="439" customWidth="1"/>
    <col min="3" max="3" width="25.85546875" style="437" bestFit="1" customWidth="1"/>
    <col min="4" max="4" width="25" style="437" customWidth="1"/>
    <col min="5" max="5" width="20.7109375" style="437" customWidth="1"/>
    <col min="6" max="6" width="19.42578125" style="436" customWidth="1"/>
    <col min="7" max="7" width="13" style="335" customWidth="1"/>
    <col min="8" max="8" width="14.28515625" style="335" customWidth="1"/>
    <col min="9" max="9" width="16.5703125" style="335" customWidth="1"/>
    <col min="10" max="10" width="86.28515625" style="335" customWidth="1"/>
    <col min="11" max="11" width="8.28515625" style="438" customWidth="1"/>
    <col min="12" max="12" width="8.28515625" style="335" customWidth="1"/>
    <col min="13" max="16384" width="8.7109375" style="335"/>
  </cols>
  <sheetData>
    <row r="1" spans="1:11" s="332" customFormat="1" ht="15.75">
      <c r="A1" s="327"/>
      <c r="B1" s="328"/>
      <c r="C1" s="329"/>
      <c r="D1" s="329"/>
      <c r="E1" s="330"/>
      <c r="F1" s="331"/>
      <c r="G1" s="331"/>
      <c r="H1" s="331"/>
      <c r="I1" s="331"/>
      <c r="J1" s="328"/>
    </row>
    <row r="2" spans="1:11" s="332" customFormat="1" ht="23.25">
      <c r="A2" s="818" t="s">
        <v>243</v>
      </c>
      <c r="B2" s="818"/>
      <c r="C2" s="818"/>
      <c r="D2" s="818"/>
      <c r="E2" s="818"/>
      <c r="F2" s="818"/>
      <c r="G2" s="818"/>
      <c r="H2" s="818"/>
      <c r="I2" s="818"/>
      <c r="J2" s="818"/>
    </row>
    <row r="3" spans="1:11" ht="36.75" customHeight="1">
      <c r="A3" s="333"/>
      <c r="B3" s="334"/>
      <c r="C3" s="334"/>
      <c r="D3" s="823" t="s">
        <v>349</v>
      </c>
      <c r="E3" s="823"/>
      <c r="F3" s="823"/>
      <c r="G3" s="823"/>
      <c r="H3" s="823"/>
      <c r="I3" s="823"/>
      <c r="J3" s="334"/>
      <c r="K3" s="335"/>
    </row>
    <row r="4" spans="1:11" ht="27.75" customHeight="1" thickBot="1">
      <c r="A4" s="333"/>
      <c r="B4" s="821" t="s">
        <v>244</v>
      </c>
      <c r="C4" s="821"/>
      <c r="D4" s="821"/>
      <c r="E4" s="821"/>
      <c r="F4" s="821"/>
      <c r="G4" s="821"/>
      <c r="H4" s="821"/>
      <c r="I4" s="821"/>
      <c r="J4" s="821"/>
      <c r="K4" s="335"/>
    </row>
    <row r="5" spans="1:11" ht="29.25" customHeight="1" thickBot="1">
      <c r="A5" s="333"/>
      <c r="B5" s="336" t="s">
        <v>245</v>
      </c>
      <c r="C5" s="337"/>
      <c r="D5" s="337"/>
      <c r="E5" s="338"/>
      <c r="F5" s="48" t="s">
        <v>246</v>
      </c>
      <c r="G5" s="339"/>
      <c r="H5" s="339"/>
      <c r="I5" s="339"/>
      <c r="J5" s="340"/>
      <c r="K5" s="335"/>
    </row>
    <row r="6" spans="1:11" ht="15.75">
      <c r="A6" s="333"/>
      <c r="B6" s="822" t="s">
        <v>247</v>
      </c>
      <c r="C6" s="822"/>
      <c r="D6" s="822"/>
      <c r="E6" s="822"/>
      <c r="F6" s="822"/>
      <c r="G6" s="822"/>
      <c r="H6" s="822"/>
      <c r="I6" s="822"/>
      <c r="J6" s="822"/>
      <c r="K6" s="335"/>
    </row>
    <row r="7" spans="1:11" ht="15.75">
      <c r="A7" s="333"/>
      <c r="B7" s="341" t="s">
        <v>248</v>
      </c>
      <c r="C7" s="342"/>
      <c r="D7" s="342"/>
      <c r="E7" s="343"/>
      <c r="F7" s="344"/>
      <c r="G7" s="344"/>
      <c r="H7" s="344"/>
      <c r="I7" s="344"/>
      <c r="J7" s="345"/>
      <c r="K7" s="335"/>
    </row>
    <row r="8" spans="1:11" ht="15">
      <c r="A8" s="333"/>
      <c r="B8" s="346"/>
      <c r="C8" s="347"/>
      <c r="D8" s="347"/>
      <c r="E8" s="347"/>
      <c r="F8" s="348"/>
      <c r="G8" s="348"/>
      <c r="H8" s="348"/>
      <c r="I8" s="348"/>
      <c r="J8" s="349"/>
      <c r="K8" s="335"/>
    </row>
    <row r="9" spans="1:11" s="350" customFormat="1" ht="75.75" thickBot="1">
      <c r="B9" s="351" t="s">
        <v>249</v>
      </c>
      <c r="C9" s="352" t="s">
        <v>250</v>
      </c>
      <c r="D9" s="353" t="s">
        <v>251</v>
      </c>
      <c r="E9" s="352" t="s">
        <v>190</v>
      </c>
      <c r="F9" s="354" t="s">
        <v>191</v>
      </c>
      <c r="G9" s="352" t="s">
        <v>252</v>
      </c>
      <c r="H9" s="355" t="s">
        <v>253</v>
      </c>
      <c r="I9" s="356" t="s">
        <v>254</v>
      </c>
      <c r="J9" s="357" t="s">
        <v>194</v>
      </c>
    </row>
    <row r="10" spans="1:11" s="350" customFormat="1" ht="15.75" thickTop="1">
      <c r="B10" s="358" t="s">
        <v>42</v>
      </c>
      <c r="C10" s="359"/>
      <c r="D10" s="360"/>
      <c r="E10" s="359"/>
      <c r="F10" s="361"/>
      <c r="G10" s="362"/>
      <c r="H10" s="361"/>
      <c r="I10" s="362"/>
      <c r="J10" s="362"/>
    </row>
    <row r="11" spans="1:11" s="350" customFormat="1" ht="15">
      <c r="B11" s="363" t="s">
        <v>49</v>
      </c>
      <c r="C11" s="364"/>
      <c r="D11" s="365"/>
      <c r="E11" s="364"/>
      <c r="F11" s="366"/>
      <c r="G11" s="367"/>
      <c r="H11" s="366"/>
      <c r="I11" s="367"/>
      <c r="J11" s="367"/>
    </row>
    <row r="12" spans="1:11" s="350" customFormat="1" ht="60">
      <c r="A12" s="368">
        <f>IF(OR(C12="Required-CMS",C12="Required-State Medicaid"),1,IF(C12="Not Required (optional)",2,0))</f>
        <v>1</v>
      </c>
      <c r="B12" s="369" t="s">
        <v>255</v>
      </c>
      <c r="C12" s="75" t="s">
        <v>256</v>
      </c>
      <c r="D12" s="370" t="s">
        <v>257</v>
      </c>
      <c r="E12" s="371" t="s">
        <v>258</v>
      </c>
      <c r="F12" s="76">
        <v>80000</v>
      </c>
      <c r="G12" s="583">
        <v>0.5</v>
      </c>
      <c r="H12" s="77" t="s">
        <v>88</v>
      </c>
      <c r="I12" s="372">
        <f>IF(OR('3. Basic Input &amp; Assumptions'!G13="No",H12="No",H12=""),0,IF(OR(D12="Ongoing - Annually",D12="Start Up"),F12*G12,IF(D12="Ongoing - Quarterly",F12*G12*4,IF(D12="Ongoing - Monthly",F12*G12*12,0))))</f>
        <v>40000</v>
      </c>
      <c r="J12" s="373" t="s">
        <v>259</v>
      </c>
    </row>
    <row r="13" spans="1:11" s="350" customFormat="1" ht="15">
      <c r="A13" s="368">
        <f t="shared" ref="A13:A48" si="0">IF(OR(C13="Required-CMS",C13="Required-State Medicaid"),1,IF(C13="Not Required (optional)",2,0))</f>
        <v>2</v>
      </c>
      <c r="B13" s="369" t="s">
        <v>260</v>
      </c>
      <c r="C13" s="74" t="s">
        <v>261</v>
      </c>
      <c r="D13" s="374" t="s">
        <v>257</v>
      </c>
      <c r="E13" s="375" t="s">
        <v>258</v>
      </c>
      <c r="F13" s="78">
        <v>45000</v>
      </c>
      <c r="G13" s="584">
        <v>1</v>
      </c>
      <c r="H13" s="79"/>
      <c r="I13" s="372">
        <f>IF(OR('3. Basic Input &amp; Assumptions'!$G$13="No",H13="No",H13=""),0,IF(OR(D13="Ongoing - Annually",D13="Start Up"),F13*G13,IF(D13="Ongoing - Quarterly",F13*G13*4,IF(D13="Ongoing - Monthly",F13*G13*12,0))))</f>
        <v>0</v>
      </c>
      <c r="J13" s="376" t="s">
        <v>262</v>
      </c>
    </row>
    <row r="14" spans="1:11" s="350" customFormat="1" ht="75">
      <c r="A14" s="368">
        <f t="shared" si="0"/>
        <v>1</v>
      </c>
      <c r="B14" s="377" t="s">
        <v>263</v>
      </c>
      <c r="C14" s="80" t="s">
        <v>264</v>
      </c>
      <c r="D14" s="378" t="s">
        <v>257</v>
      </c>
      <c r="E14" s="379" t="s">
        <v>258</v>
      </c>
      <c r="F14" s="81">
        <v>65000</v>
      </c>
      <c r="G14" s="585">
        <v>1</v>
      </c>
      <c r="H14" s="82"/>
      <c r="I14" s="372">
        <f>IF(OR('3. Basic Input &amp; Assumptions'!$G$13="No",H14="No",H14=""),0,IF(OR(D14="Ongoing - Annually",D14="Start Up"),F14*G14,IF(D14="Ongoing - Quarterly",F14*G14*4,IF(D14="Ongoing - Monthly",F14*G14*12,0))))</f>
        <v>0</v>
      </c>
      <c r="J14" s="380" t="s">
        <v>265</v>
      </c>
    </row>
    <row r="15" spans="1:11" s="350" customFormat="1" ht="15">
      <c r="A15" s="368">
        <f t="shared" si="0"/>
        <v>0</v>
      </c>
      <c r="B15" s="381" t="s">
        <v>51</v>
      </c>
      <c r="C15" s="382"/>
      <c r="D15" s="365"/>
      <c r="E15" s="364"/>
      <c r="F15" s="383"/>
      <c r="G15" s="586"/>
      <c r="H15" s="364"/>
      <c r="I15" s="364"/>
      <c r="J15" s="384"/>
    </row>
    <row r="16" spans="1:11" s="350" customFormat="1" ht="75">
      <c r="A16" s="368">
        <f t="shared" si="0"/>
        <v>2</v>
      </c>
      <c r="B16" s="385" t="s">
        <v>266</v>
      </c>
      <c r="C16" s="75" t="s">
        <v>261</v>
      </c>
      <c r="D16" s="370" t="s">
        <v>267</v>
      </c>
      <c r="E16" s="371" t="s">
        <v>258</v>
      </c>
      <c r="F16" s="76">
        <v>20000</v>
      </c>
      <c r="G16" s="583">
        <v>1</v>
      </c>
      <c r="H16" s="77"/>
      <c r="I16" s="372">
        <f>IF(OR('3. Basic Input &amp; Assumptions'!$G$13="No",H16="No",H16=""),0,IF(OR(D16="Ongoing - Annually",D16="Start Up"),F16*G16,IF(D16="Ongoing - Quarterly",F16*G16*4,IF(D16="Ongoing - Monthly",F16*G16*12,0))))</f>
        <v>0</v>
      </c>
      <c r="J16" s="373" t="s">
        <v>268</v>
      </c>
    </row>
    <row r="17" spans="1:12" s="350" customFormat="1" ht="75">
      <c r="A17" s="368">
        <f t="shared" si="0"/>
        <v>2</v>
      </c>
      <c r="B17" s="386" t="s">
        <v>269</v>
      </c>
      <c r="C17" s="83" t="s">
        <v>261</v>
      </c>
      <c r="D17" s="378" t="s">
        <v>270</v>
      </c>
      <c r="E17" s="379" t="s">
        <v>258</v>
      </c>
      <c r="F17" s="179">
        <f>IF(F5="Apply to All",(('4. ACT'!D94+'5. ICM'!D106+'6. TSS'!D99+'7. CTI'!D91)/12),IF('9. Medicaid Admin Costs'!F5="Apply to ACT Tab 4",'4. ACT'!D94/12,IF('9. Medicaid Admin Costs'!F5="Apply to ICM Tab 5",'9. Medicaid Admin Costs'!D102/12,IF('9. Medicaid Admin Costs'!F5="Apply to TSS Tab 6",'6. TSS'!D99/12,IF('9. Medicaid Admin Costs'!F5="Apply to CTI Tab 7",'7. CTI'!D91/12,0)))))</f>
        <v>0</v>
      </c>
      <c r="G17" s="178">
        <v>6.5000000000000002E-2</v>
      </c>
      <c r="H17" s="82"/>
      <c r="I17" s="372">
        <f>IF(OR('3. Basic Input &amp; Assumptions'!$G$13="No",H17="No",H17=""),0,IF(OR(D17="Ongoing - Annually",D17="Start Up"),F17*G17,IF(D17="Ongoing - Quarterly",F17*G17*4,IF(D17="Ongoing - Monthly",F17*G17*12,0))))</f>
        <v>0</v>
      </c>
      <c r="J17" s="387" t="s">
        <v>271</v>
      </c>
    </row>
    <row r="18" spans="1:12" s="350" customFormat="1" ht="15">
      <c r="A18" s="368">
        <f t="shared" si="0"/>
        <v>0</v>
      </c>
      <c r="B18" s="363" t="s">
        <v>52</v>
      </c>
      <c r="C18" s="382"/>
      <c r="D18" s="365"/>
      <c r="E18" s="364"/>
      <c r="F18" s="383"/>
      <c r="G18" s="364"/>
      <c r="H18" s="364"/>
      <c r="I18" s="364"/>
      <c r="J18" s="367"/>
    </row>
    <row r="19" spans="1:12" s="350" customFormat="1" ht="90">
      <c r="A19" s="368">
        <f t="shared" si="0"/>
        <v>2</v>
      </c>
      <c r="B19" s="388" t="s">
        <v>199</v>
      </c>
      <c r="C19" s="84" t="s">
        <v>261</v>
      </c>
      <c r="D19" s="389" t="s">
        <v>267</v>
      </c>
      <c r="E19" s="390" t="s">
        <v>272</v>
      </c>
      <c r="F19" s="85">
        <v>20</v>
      </c>
      <c r="G19" s="587">
        <f>IF($F$5="Apply to All",MAX('2a. Budget Summary Output'!$D$5:$G$5),IF($F$5="Apply to ACT Tab 4",'2a. Budget Summary Output'!$D$5,IF($F$5="Apply to ICM Tab 5",'2a. Budget Summary Output'!$E$5,IF($F$5="Apply to TSS Tab 6",'2a. Budget Summary Output'!$F$5,IF($F$5="Apply to CTI Tab 7",'2a. Budget Summary Output'!$G$5,"Error")))))</f>
        <v>0</v>
      </c>
      <c r="H19" s="171"/>
      <c r="I19" s="372">
        <f>IF(OR('3. Basic Input &amp; Assumptions'!$G$13="No",H19="No",H19="",'8. General Startup Costs'!F12&lt;&gt;0),0,IF(OR(D19="Ongoing - Annually",D19="Start Up"),F19*G19,IF(D19="Ongoing - Quarterly",F19*G19*4,IF(D19="Ongoing - Monthly",F19*G19*12,0))))</f>
        <v>0</v>
      </c>
      <c r="J19" s="391" t="s">
        <v>273</v>
      </c>
    </row>
    <row r="20" spans="1:12" s="350" customFormat="1" ht="15.75" thickBot="1">
      <c r="A20" s="368">
        <f t="shared" si="0"/>
        <v>0</v>
      </c>
      <c r="B20" s="363" t="s">
        <v>53</v>
      </c>
      <c r="C20" s="382"/>
      <c r="D20" s="365"/>
      <c r="E20" s="364"/>
      <c r="F20" s="383"/>
      <c r="G20" s="586"/>
      <c r="H20" s="364"/>
      <c r="I20" s="364"/>
      <c r="J20" s="367"/>
    </row>
    <row r="21" spans="1:12" s="350" customFormat="1" ht="90" customHeight="1" thickBot="1">
      <c r="A21" s="368">
        <f t="shared" si="0"/>
        <v>1</v>
      </c>
      <c r="B21" s="385" t="s">
        <v>274</v>
      </c>
      <c r="C21" s="75" t="s">
        <v>256</v>
      </c>
      <c r="D21" s="370" t="s">
        <v>257</v>
      </c>
      <c r="E21" s="371" t="s">
        <v>275</v>
      </c>
      <c r="F21" s="76">
        <v>50</v>
      </c>
      <c r="G21" s="588">
        <f>IF($F$5="Apply to All",MAX('2a. Budget Summary Output'!$D$5:$G$5),IF($F$5="Apply to ACT Tab 4",'2a. Budget Summary Output'!$D$5,IF($F$5="Apply to ICM Tab 5",'2a. Budget Summary Output'!$E$5,IF($F$5="Apply to TSS Tab 6",'2a. Budget Summary Output'!$F$5,IF($F$5="Apply to CTI Tab 7",'2a. Budget Summary Output'!$G$5,"Error")))))</f>
        <v>0</v>
      </c>
      <c r="H21" s="77"/>
      <c r="I21" s="372">
        <f>IF(OR('3. Basic Input &amp; Assumptions'!$G$13="No",H21="No",H21=""),0,IF(OR(D21="Ongoing - Annually",D21="Start Up"),F21*G21,IF(D21="Ongoing - Quarterly",F21*G21*4,IF(D21="Ongoing - Monthly",F21*G21*12,0))))</f>
        <v>0</v>
      </c>
      <c r="J21" s="373" t="s">
        <v>276</v>
      </c>
      <c r="K21" s="813" t="s">
        <v>277</v>
      </c>
      <c r="L21" s="814"/>
    </row>
    <row r="22" spans="1:12" s="350" customFormat="1" ht="30">
      <c r="A22" s="368">
        <f t="shared" si="0"/>
        <v>1</v>
      </c>
      <c r="B22" s="369" t="s">
        <v>278</v>
      </c>
      <c r="C22" s="74" t="s">
        <v>256</v>
      </c>
      <c r="D22" s="374" t="s">
        <v>257</v>
      </c>
      <c r="E22" s="375" t="s">
        <v>275</v>
      </c>
      <c r="F22" s="78">
        <v>50</v>
      </c>
      <c r="G22" s="589">
        <f>IF($F$5="Apply to All",MAX('2a. Budget Summary Output'!$D$5:$G$5),IF($F$5="Apply to ACT Tab 4",'2a. Budget Summary Output'!$D$5,IF($F$5="Apply to ICM Tab 5",'2a. Budget Summary Output'!$E$5,IF($F$5="Apply to TSS Tab 6",'2a. Budget Summary Output'!$F$5,IF($F$5="Apply to CTI Tab 7",'2a. Budget Summary Output'!$G$5,"Error")))))</f>
        <v>0</v>
      </c>
      <c r="H22" s="79"/>
      <c r="I22" s="372">
        <f>IF(OR('3. Basic Input &amp; Assumptions'!$G$13="No",H22="No",H22=""),0,IF(OR(D22="Ongoing - Annually",D22="Start Up"),F22*G22,IF(D22="Ongoing - Quarterly",F22*G22*4,IF(D22="Ongoing - Monthly",F22*G22*12,0))))</f>
        <v>0</v>
      </c>
      <c r="J22" s="376"/>
    </row>
    <row r="23" spans="1:12" s="397" customFormat="1" ht="30">
      <c r="A23" s="368">
        <f t="shared" si="0"/>
        <v>0</v>
      </c>
      <c r="B23" s="392" t="s">
        <v>279</v>
      </c>
      <c r="C23" s="382"/>
      <c r="D23" s="393"/>
      <c r="E23" s="382"/>
      <c r="F23" s="394"/>
      <c r="G23" s="395"/>
      <c r="H23" s="393"/>
      <c r="I23" s="396">
        <f>SUMIF(D12:D22,"Start Up",I12:I22)</f>
        <v>0</v>
      </c>
      <c r="J23" s="367"/>
    </row>
    <row r="24" spans="1:12" s="397" customFormat="1" ht="30">
      <c r="A24" s="368">
        <f t="shared" si="0"/>
        <v>0</v>
      </c>
      <c r="B24" s="392" t="s">
        <v>280</v>
      </c>
      <c r="C24" s="382"/>
      <c r="D24" s="393"/>
      <c r="E24" s="382"/>
      <c r="F24" s="394"/>
      <c r="G24" s="395"/>
      <c r="H24" s="393"/>
      <c r="I24" s="396">
        <f>SUMIF(D12:D22,"Ongoing - Monthly",I12:I22)+SUMIF(D12:D22,"Ongoing - Annually",I12:I22)+SUMIF(D12:D22,"Ongoing - Quarterly",I12:I22)</f>
        <v>40000</v>
      </c>
      <c r="J24" s="367"/>
    </row>
    <row r="25" spans="1:12" s="350" customFormat="1" ht="15">
      <c r="A25" s="368">
        <f t="shared" si="0"/>
        <v>0</v>
      </c>
      <c r="B25" s="398"/>
      <c r="C25" s="399"/>
      <c r="D25" s="400"/>
      <c r="E25" s="399"/>
      <c r="F25" s="401"/>
      <c r="G25" s="402"/>
      <c r="H25" s="400"/>
      <c r="I25" s="399"/>
      <c r="J25" s="402"/>
    </row>
    <row r="26" spans="1:12" s="350" customFormat="1" ht="15">
      <c r="A26" s="368">
        <f t="shared" si="0"/>
        <v>0</v>
      </c>
      <c r="B26" s="403" t="s">
        <v>55</v>
      </c>
      <c r="C26" s="404"/>
      <c r="D26" s="405"/>
      <c r="E26" s="404"/>
      <c r="F26" s="406"/>
      <c r="G26" s="407"/>
      <c r="H26" s="405"/>
      <c r="I26" s="404"/>
      <c r="J26" s="407"/>
    </row>
    <row r="27" spans="1:12" s="350" customFormat="1" ht="15">
      <c r="A27" s="368">
        <f t="shared" si="0"/>
        <v>0</v>
      </c>
      <c r="B27" s="363" t="s">
        <v>281</v>
      </c>
      <c r="C27" s="382"/>
      <c r="D27" s="393"/>
      <c r="E27" s="382"/>
      <c r="F27" s="394"/>
      <c r="G27" s="395"/>
      <c r="H27" s="393"/>
      <c r="I27" s="382"/>
      <c r="J27" s="395"/>
    </row>
    <row r="28" spans="1:12" s="350" customFormat="1" ht="105">
      <c r="A28" s="368">
        <f t="shared" si="0"/>
        <v>1</v>
      </c>
      <c r="B28" s="385" t="s">
        <v>282</v>
      </c>
      <c r="C28" s="75" t="s">
        <v>264</v>
      </c>
      <c r="D28" s="370" t="s">
        <v>257</v>
      </c>
      <c r="E28" s="371" t="s">
        <v>258</v>
      </c>
      <c r="F28" s="76">
        <v>750</v>
      </c>
      <c r="G28" s="583">
        <v>1</v>
      </c>
      <c r="H28" s="77"/>
      <c r="I28" s="372">
        <f>IF(OR('3. Basic Input &amp; Assumptions'!$G$13="No",H28="No",H28=""),0,IF(OR(D28="Ongoing - Annually",D28="Start Up"),F28*G28,IF(D28="Ongoing - Quarterly",F28*G28*4,IF(D28="Ongoing - Monthly",F28*G28*12,0))))</f>
        <v>0</v>
      </c>
      <c r="J28" s="373" t="s">
        <v>283</v>
      </c>
    </row>
    <row r="29" spans="1:12" s="350" customFormat="1" ht="30">
      <c r="A29" s="368">
        <f t="shared" si="0"/>
        <v>2</v>
      </c>
      <c r="B29" s="369" t="s">
        <v>219</v>
      </c>
      <c r="C29" s="74" t="s">
        <v>261</v>
      </c>
      <c r="D29" s="374" t="s">
        <v>267</v>
      </c>
      <c r="E29" s="408"/>
      <c r="F29" s="78">
        <v>100</v>
      </c>
      <c r="G29" s="584">
        <v>10</v>
      </c>
      <c r="H29" s="79"/>
      <c r="I29" s="372">
        <f>IF(OR('3. Basic Input &amp; Assumptions'!$G$13="No",H29="No",H29="",'8. General Startup Costs'!F33&lt;&gt;0),0,IF(OR(D29="Ongoing - Annually",D29="Start Up"),F29*G29,IF(D29="Ongoing - Quarterly",F29*G29*4,IF(D29="Ongoing - Monthly",F29*G29*12,0))))</f>
        <v>0</v>
      </c>
      <c r="J29" s="409" t="s">
        <v>284</v>
      </c>
    </row>
    <row r="30" spans="1:12" s="350" customFormat="1" ht="30">
      <c r="A30" s="368">
        <f t="shared" si="0"/>
        <v>2</v>
      </c>
      <c r="B30" s="369" t="s">
        <v>221</v>
      </c>
      <c r="C30" s="74" t="s">
        <v>261</v>
      </c>
      <c r="D30" s="374" t="s">
        <v>267</v>
      </c>
      <c r="E30" s="408"/>
      <c r="F30" s="78"/>
      <c r="G30" s="584"/>
      <c r="H30" s="79"/>
      <c r="I30" s="372">
        <f>IF(OR('3. Basic Input &amp; Assumptions'!$G$13="No",H30="No",H30="",'8. General Startup Costs'!F34&lt;&gt;0),0,IF(OR(D30="Ongoing - Annually",D30="Start Up"),F30*G30,IF(D30="Ongoing - Quarterly",F30*G30*4,IF(D30="Ongoing - Monthly",F30*G30*12,0))))</f>
        <v>0</v>
      </c>
      <c r="J30" s="409" t="s">
        <v>284</v>
      </c>
    </row>
    <row r="31" spans="1:12" s="350" customFormat="1" ht="45">
      <c r="A31" s="368">
        <f t="shared" si="0"/>
        <v>2</v>
      </c>
      <c r="B31" s="369" t="s">
        <v>223</v>
      </c>
      <c r="C31" s="74" t="s">
        <v>261</v>
      </c>
      <c r="D31" s="374" t="s">
        <v>267</v>
      </c>
      <c r="E31" s="408"/>
      <c r="F31" s="78"/>
      <c r="G31" s="584"/>
      <c r="H31" s="79"/>
      <c r="I31" s="372">
        <f>IF(OR('3. Basic Input &amp; Assumptions'!$G$13="No",H31="No",H31="",'8. General Startup Costs'!F35&lt;&gt;0),0,IF(OR(D31="Ongoing - Annually",D31="Start Up"),F31*G31,IF(D31="Ongoing - Quarterly",F31*G31*4,IF(D31="Ongoing - Monthly",F31*G31*12,0))))</f>
        <v>0</v>
      </c>
      <c r="J31" s="376" t="s">
        <v>285</v>
      </c>
    </row>
    <row r="32" spans="1:12" s="350" customFormat="1" ht="30">
      <c r="A32" s="368">
        <f t="shared" si="0"/>
        <v>2</v>
      </c>
      <c r="B32" s="369" t="s">
        <v>286</v>
      </c>
      <c r="C32" s="74" t="s">
        <v>261</v>
      </c>
      <c r="D32" s="374" t="s">
        <v>267</v>
      </c>
      <c r="E32" s="408"/>
      <c r="F32" s="78"/>
      <c r="G32" s="584"/>
      <c r="H32" s="79"/>
      <c r="I32" s="372">
        <f>IF(OR('3. Basic Input &amp; Assumptions'!$G$13="No",H32="No",H32="",'8. General Startup Costs'!F36&lt;&gt;0),0,IF(OR(D32="Ongoing - Annually",D32="Start Up"),F32*G32,IF(D32="Ongoing - Quarterly",F32*G32*4,IF(D32="Ongoing - Monthly",F32*G32*12,0))))</f>
        <v>0</v>
      </c>
      <c r="J32" s="409" t="s">
        <v>284</v>
      </c>
    </row>
    <row r="33" spans="1:14" s="350" customFormat="1" ht="60">
      <c r="A33" s="368">
        <f t="shared" si="0"/>
        <v>1</v>
      </c>
      <c r="B33" s="369" t="s">
        <v>227</v>
      </c>
      <c r="C33" s="74" t="s">
        <v>256</v>
      </c>
      <c r="D33" s="374" t="s">
        <v>267</v>
      </c>
      <c r="E33" s="408"/>
      <c r="F33" s="78"/>
      <c r="G33" s="584"/>
      <c r="H33" s="79"/>
      <c r="I33" s="372">
        <f>IF(OR('3. Basic Input &amp; Assumptions'!$G$13="No",H33="No",H33="",'8. General Startup Costs'!F37&lt;&gt;0),0,IF(OR(D33="Ongoing - Annually",D33="Start Up"),F33*G33,IF(D33="Ongoing - Quarterly",F33*G33*4,IF(D33="Ongoing - Monthly",F33*G33*12,0))))</f>
        <v>0</v>
      </c>
      <c r="J33" s="376" t="s">
        <v>287</v>
      </c>
    </row>
    <row r="34" spans="1:14" s="350" customFormat="1" ht="30">
      <c r="A34" s="368">
        <f t="shared" si="0"/>
        <v>2</v>
      </c>
      <c r="B34" s="369" t="s">
        <v>229</v>
      </c>
      <c r="C34" s="74" t="s">
        <v>261</v>
      </c>
      <c r="D34" s="374" t="s">
        <v>267</v>
      </c>
      <c r="E34" s="408"/>
      <c r="F34" s="78"/>
      <c r="G34" s="584"/>
      <c r="H34" s="79"/>
      <c r="I34" s="372">
        <f>IF(OR('3. Basic Input &amp; Assumptions'!$G$13="No",H34="No",H34="",'8. General Startup Costs'!F38&lt;&gt;0),0,IF(OR(D34="Ongoing - Annually",D34="Start Up"),F34*G34,IF(D34="Ongoing - Quarterly",F34*G34*4,IF(D34="Ongoing - Monthly",F34*G34*12,0))))</f>
        <v>0</v>
      </c>
      <c r="J34" s="409" t="s">
        <v>284</v>
      </c>
    </row>
    <row r="35" spans="1:14" s="350" customFormat="1" ht="75">
      <c r="A35" s="368">
        <f t="shared" si="0"/>
        <v>2</v>
      </c>
      <c r="B35" s="369" t="s">
        <v>230</v>
      </c>
      <c r="C35" s="74" t="s">
        <v>261</v>
      </c>
      <c r="D35" s="374" t="s">
        <v>270</v>
      </c>
      <c r="E35" s="375" t="s">
        <v>288</v>
      </c>
      <c r="F35" s="78">
        <v>750</v>
      </c>
      <c r="G35" s="584"/>
      <c r="H35" s="79"/>
      <c r="I35" s="372">
        <f>IF(OR('3. Basic Input &amp; Assumptions'!$G$13="No",H35="No",H35="",'8. General Startup Costs'!F39&lt;&gt;0),0,IF(OR(D35="Ongoing - Annually",D35="Start Up"),F35*G35,IF(D35="Ongoing - Quarterly",F35*G35*4,IF(D35="Ongoing - Monthly",F35*G35*12,0))))</f>
        <v>0</v>
      </c>
      <c r="J35" s="376" t="s">
        <v>289</v>
      </c>
    </row>
    <row r="36" spans="1:14" s="350" customFormat="1" ht="60">
      <c r="A36" s="368">
        <f t="shared" si="0"/>
        <v>2</v>
      </c>
      <c r="B36" s="369" t="s">
        <v>290</v>
      </c>
      <c r="C36" s="74" t="s">
        <v>261</v>
      </c>
      <c r="D36" s="374" t="s">
        <v>270</v>
      </c>
      <c r="E36" s="375" t="s">
        <v>258</v>
      </c>
      <c r="F36" s="78">
        <v>750</v>
      </c>
      <c r="G36" s="584">
        <v>1</v>
      </c>
      <c r="H36" s="79"/>
      <c r="I36" s="372">
        <f>IF(OR('3. Basic Input &amp; Assumptions'!$G$13="No",H36="No",H36=""),0,IF(OR(D36="Ongoing - Annually",D36="Start Up"),F36*G36,IF(D36="Ongoing - Quarterly",F36*G36*4,IF(D36="Ongoing - Monthly",F36*G36*12,0))))</f>
        <v>0</v>
      </c>
      <c r="J36" s="376" t="s">
        <v>291</v>
      </c>
    </row>
    <row r="37" spans="1:14" s="350" customFormat="1" ht="75">
      <c r="A37" s="368">
        <f t="shared" si="0"/>
        <v>2</v>
      </c>
      <c r="B37" s="369" t="s">
        <v>292</v>
      </c>
      <c r="C37" s="74" t="s">
        <v>261</v>
      </c>
      <c r="D37" s="374" t="s">
        <v>267</v>
      </c>
      <c r="E37" s="375" t="s">
        <v>258</v>
      </c>
      <c r="F37" s="78">
        <v>100000</v>
      </c>
      <c r="G37" s="584">
        <v>1</v>
      </c>
      <c r="H37" s="79"/>
      <c r="I37" s="372">
        <f>IF(OR('3. Basic Input &amp; Assumptions'!$G$13="No",H37="No",H37=""),0,IF(OR(D37="Ongoing - Annually",D37="Start Up"),F37*G37,IF(D37="Ongoing - Quarterly",F37*G37*4,IF(D37="Ongoing - Monthly",F37*G37*12,0))))</f>
        <v>0</v>
      </c>
      <c r="J37" s="376" t="s">
        <v>293</v>
      </c>
    </row>
    <row r="38" spans="1:14" s="350" customFormat="1" ht="60">
      <c r="A38" s="368">
        <f t="shared" si="0"/>
        <v>2</v>
      </c>
      <c r="B38" s="369" t="s">
        <v>234</v>
      </c>
      <c r="C38" s="74" t="s">
        <v>261</v>
      </c>
      <c r="D38" s="374" t="s">
        <v>270</v>
      </c>
      <c r="E38" s="375" t="s">
        <v>294</v>
      </c>
      <c r="F38" s="78">
        <v>100</v>
      </c>
      <c r="G38" s="584"/>
      <c r="H38" s="79"/>
      <c r="I38" s="372">
        <f>IF(OR('3. Basic Input &amp; Assumptions'!$G$13="No",H38="No",H38="",'8. General Startup Costs'!F41&lt;&gt;0),0,IF(OR(D38="Ongoing - Annually",D38="Start Up"),F38*G38,IF(D38="Ongoing - Quarterly",F38*G38*4,IF(D38="Ongoing - Monthly",F38*G38*12,0))))</f>
        <v>0</v>
      </c>
      <c r="J38" s="376" t="s">
        <v>295</v>
      </c>
    </row>
    <row r="39" spans="1:14" s="350" customFormat="1" ht="60.75" thickBot="1">
      <c r="A39" s="368">
        <f t="shared" si="0"/>
        <v>2</v>
      </c>
      <c r="B39" s="369" t="s">
        <v>296</v>
      </c>
      <c r="C39" s="74" t="s">
        <v>261</v>
      </c>
      <c r="D39" s="374" t="s">
        <v>267</v>
      </c>
      <c r="E39" s="375" t="s">
        <v>294</v>
      </c>
      <c r="F39" s="78">
        <v>20</v>
      </c>
      <c r="G39" s="584"/>
      <c r="H39" s="79"/>
      <c r="I39" s="372">
        <f>IF(OR('3. Basic Input &amp; Assumptions'!$G$13="No",H39="No",H39=""),0,IF(OR(D39="Ongoing - Annually",D39="Start Up"),F39*G39,IF(D39="Ongoing - Quarterly",F39*G39*4,IF(D39="Ongoing - Monthly",F39*G39*12,0))))</f>
        <v>0</v>
      </c>
      <c r="J39" s="376" t="s">
        <v>297</v>
      </c>
    </row>
    <row r="40" spans="1:14" s="350" customFormat="1" ht="70.5" customHeight="1" thickBot="1">
      <c r="A40" s="368">
        <f t="shared" si="0"/>
        <v>1</v>
      </c>
      <c r="B40" s="369" t="s">
        <v>298</v>
      </c>
      <c r="C40" s="74" t="s">
        <v>264</v>
      </c>
      <c r="D40" s="374" t="s">
        <v>257</v>
      </c>
      <c r="E40" s="375" t="s">
        <v>299</v>
      </c>
      <c r="F40" s="78">
        <v>300</v>
      </c>
      <c r="G40" s="589">
        <f>IF($F$5="Apply to All",MAX('2a. Budget Summary Output'!$D$5:$G$5),IF($F$5="Apply to ACT Tab 4",'2a. Budget Summary Output'!$D$5,IF($F$5="Apply to ICM Tab 5",'2a. Budget Summary Output'!$E$5,IF($F$5="Apply to TSS Tab 6",'2a. Budget Summary Output'!$F$5,IF($F$5="Apply to CTI Tab 7",'2a. Budget Summary Output'!$G$5,"Error")))))</f>
        <v>0</v>
      </c>
      <c r="H40" s="79"/>
      <c r="I40" s="372">
        <f>IF(OR('3. Basic Input &amp; Assumptions'!$G$13="No",H40="No",H40=""),0,IF(OR(D40="Ongoing - Annually",D40="Start Up"),F40*G40,IF(D40="Ongoing - Quarterly",F40*G40*4,IF(D40="Ongoing - Monthly",F40*G40*12,0))))</f>
        <v>0</v>
      </c>
      <c r="J40" s="376" t="s">
        <v>300</v>
      </c>
      <c r="K40" s="813" t="s">
        <v>301</v>
      </c>
      <c r="L40" s="813"/>
      <c r="M40" s="813" t="s">
        <v>302</v>
      </c>
      <c r="N40" s="814"/>
    </row>
    <row r="41" spans="1:14" s="350" customFormat="1" ht="15">
      <c r="A41" s="368">
        <f t="shared" si="0"/>
        <v>2</v>
      </c>
      <c r="B41" s="177" t="s">
        <v>202</v>
      </c>
      <c r="C41" s="74" t="s">
        <v>261</v>
      </c>
      <c r="D41" s="89" t="s">
        <v>180</v>
      </c>
      <c r="E41" s="86"/>
      <c r="F41" s="78"/>
      <c r="G41" s="584"/>
      <c r="H41" s="79"/>
      <c r="I41" s="372">
        <f>IF(OR('3. Basic Input &amp; Assumptions'!$G$13="No",H41="No",H41=""),0,IF(OR(D41="Ongoing - Annually",D41="Start Up"),F41*G41,IF(D41="Ongoing - Quarterly",F41*G41*4,IF(D41="Ongoing - Monthly",F41*G41*12,0))))</f>
        <v>0</v>
      </c>
      <c r="J41" s="376"/>
    </row>
    <row r="42" spans="1:14" s="350" customFormat="1" ht="15">
      <c r="A42" s="368">
        <f t="shared" si="0"/>
        <v>2</v>
      </c>
      <c r="B42" s="177" t="s">
        <v>202</v>
      </c>
      <c r="C42" s="74" t="s">
        <v>261</v>
      </c>
      <c r="D42" s="89" t="s">
        <v>180</v>
      </c>
      <c r="E42" s="86"/>
      <c r="F42" s="78"/>
      <c r="G42" s="584"/>
      <c r="H42" s="79"/>
      <c r="I42" s="372">
        <f>IF(OR('3. Basic Input &amp; Assumptions'!$G$13="No",H42="No",H42=""),0,IF(OR(D42="Ongoing - Annually",D42="Start Up"),F42*G42,IF(D42="Ongoing - Quarterly",F42*G42*4,IF(D42="Ongoing - Monthly",F42*G42*12,0))))</f>
        <v>0</v>
      </c>
      <c r="J42" s="376"/>
    </row>
    <row r="43" spans="1:14" s="350" customFormat="1" ht="15">
      <c r="A43" s="368">
        <f t="shared" si="0"/>
        <v>0</v>
      </c>
      <c r="B43" s="363" t="s">
        <v>303</v>
      </c>
      <c r="C43" s="382"/>
      <c r="D43" s="393"/>
      <c r="E43" s="382"/>
      <c r="F43" s="393"/>
      <c r="G43" s="590"/>
      <c r="H43" s="382"/>
      <c r="I43" s="393"/>
      <c r="J43" s="395"/>
    </row>
    <row r="44" spans="1:14" s="410" customFormat="1" ht="45">
      <c r="A44" s="368">
        <f t="shared" si="0"/>
        <v>1</v>
      </c>
      <c r="B44" s="385" t="s">
        <v>304</v>
      </c>
      <c r="C44" s="75" t="s">
        <v>264</v>
      </c>
      <c r="D44" s="370" t="s">
        <v>267</v>
      </c>
      <c r="E44" s="371" t="s">
        <v>258</v>
      </c>
      <c r="F44" s="76">
        <v>595</v>
      </c>
      <c r="G44" s="588">
        <v>1</v>
      </c>
      <c r="H44" s="77"/>
      <c r="I44" s="372">
        <f>IF(OR('3. Basic Input &amp; Assumptions'!$G$13="No",H44="No",H44=""),0,IF(OR(D44="Ongoing - Annually",D44="Start Up"),F44*G44,IF(D44="Ongoing - Quarterly",F44*G44*4,IF(D44="Ongoing - Monthly",F44*G44*12,0))))</f>
        <v>0</v>
      </c>
      <c r="J44" s="373" t="s">
        <v>305</v>
      </c>
    </row>
    <row r="45" spans="1:14" s="350" customFormat="1" ht="45">
      <c r="A45" s="368">
        <f t="shared" si="0"/>
        <v>2</v>
      </c>
      <c r="B45" s="369" t="s">
        <v>306</v>
      </c>
      <c r="C45" s="74" t="s">
        <v>261</v>
      </c>
      <c r="D45" s="374" t="s">
        <v>267</v>
      </c>
      <c r="E45" s="375" t="s">
        <v>258</v>
      </c>
      <c r="F45" s="78">
        <v>8000</v>
      </c>
      <c r="G45" s="589">
        <v>1</v>
      </c>
      <c r="H45" s="79"/>
      <c r="I45" s="372">
        <f>IF(OR('3. Basic Input &amp; Assumptions'!$G$13="No",H45="No",H45=""),0,IF(OR(D45="Ongoing - Annually",D45="Start Up"),F45*G45,IF(D45="Ongoing - Quarterly",F45*G45*4,IF(D45="Ongoing - Monthly",F45*G45*12,0))))</f>
        <v>0</v>
      </c>
      <c r="J45" s="376" t="s">
        <v>307</v>
      </c>
    </row>
    <row r="46" spans="1:14" s="350" customFormat="1" ht="15">
      <c r="A46" s="368">
        <f t="shared" si="0"/>
        <v>2</v>
      </c>
      <c r="B46" s="176" t="s">
        <v>202</v>
      </c>
      <c r="C46" s="80" t="s">
        <v>261</v>
      </c>
      <c r="D46" s="90" t="s">
        <v>180</v>
      </c>
      <c r="E46" s="87"/>
      <c r="F46" s="88"/>
      <c r="G46" s="591"/>
      <c r="H46" s="88"/>
      <c r="I46" s="372">
        <f>IF(OR('3. Basic Input &amp; Assumptions'!$G$13="No",H46="No",H46=""),0,IF(OR(D46="Ongoing - Annually",D46="Start Up"),F46*G46,IF(D46="Ongoing - Quarterly",F46*G46*4,IF(D46="Ongoing - Monthly",F46*G46*12,0))))</f>
        <v>0</v>
      </c>
      <c r="J46" s="380"/>
    </row>
    <row r="47" spans="1:14" s="350" customFormat="1" ht="15">
      <c r="A47" s="368">
        <f t="shared" si="0"/>
        <v>2</v>
      </c>
      <c r="B47" s="176" t="s">
        <v>202</v>
      </c>
      <c r="C47" s="80" t="s">
        <v>261</v>
      </c>
      <c r="D47" s="90" t="s">
        <v>180</v>
      </c>
      <c r="E47" s="87"/>
      <c r="F47" s="88"/>
      <c r="G47" s="591"/>
      <c r="H47" s="88"/>
      <c r="I47" s="372">
        <f>IF(OR('3. Basic Input &amp; Assumptions'!$G$13="No",H47="No",H47=""),0,IF(OR(D47="Ongoing - Annually",D47="Start Up"),F47*G47,IF(D47="Ongoing - Quarterly",F47*G47*4,IF(D47="Ongoing - Monthly",F47*G47*12,0))))</f>
        <v>0</v>
      </c>
      <c r="J47" s="380"/>
    </row>
    <row r="48" spans="1:14" s="350" customFormat="1" ht="15">
      <c r="A48" s="368">
        <f t="shared" si="0"/>
        <v>2</v>
      </c>
      <c r="B48" s="176" t="s">
        <v>202</v>
      </c>
      <c r="C48" s="80" t="s">
        <v>261</v>
      </c>
      <c r="D48" s="90" t="s">
        <v>180</v>
      </c>
      <c r="E48" s="87"/>
      <c r="F48" s="88"/>
      <c r="G48" s="591"/>
      <c r="H48" s="88"/>
      <c r="I48" s="372">
        <f>IF(OR('3. Basic Input &amp; Assumptions'!$G$13="No",H48="No",H48=""),0,IF(OR(D48="Ongoing - Annually",D48="Start Up"),F48*G48,IF(D48="Ongoing - Quarterly",F48*G48*4,IF(D48="Ongoing - Monthly",F48*G48*12,0))))</f>
        <v>0</v>
      </c>
      <c r="J48" s="380"/>
    </row>
    <row r="49" spans="2:11" s="397" customFormat="1" ht="30">
      <c r="B49" s="392" t="s">
        <v>308</v>
      </c>
      <c r="C49" s="382"/>
      <c r="D49" s="393"/>
      <c r="E49" s="382"/>
      <c r="F49" s="393"/>
      <c r="G49" s="382"/>
      <c r="H49" s="393"/>
      <c r="I49" s="396">
        <f>SUMIF(D28:D48,"Start Up",I28:I48)</f>
        <v>0</v>
      </c>
      <c r="J49" s="395"/>
    </row>
    <row r="50" spans="2:11" s="397" customFormat="1" ht="30">
      <c r="B50" s="392" t="s">
        <v>309</v>
      </c>
      <c r="C50" s="382"/>
      <c r="D50" s="393"/>
      <c r="E50" s="382"/>
      <c r="F50" s="393"/>
      <c r="G50" s="382"/>
      <c r="H50" s="393"/>
      <c r="I50" s="396">
        <f>SUMIF(D28:D48,"Ongoing - Monthly",I28:I48)+SUMIF(D28:D48,"Ongoing - Annually",I28:I48)+SUMIF(D28:D48,"Ongoing - Quarterly",I28:I48)</f>
        <v>0</v>
      </c>
      <c r="J50" s="395"/>
    </row>
    <row r="51" spans="2:11" s="350" customFormat="1" ht="15">
      <c r="B51" s="392"/>
      <c r="C51" s="382"/>
      <c r="D51" s="393"/>
      <c r="E51" s="382"/>
      <c r="F51" s="393"/>
      <c r="G51" s="382"/>
      <c r="H51" s="393"/>
      <c r="I51" s="382"/>
      <c r="J51" s="395"/>
    </row>
    <row r="52" spans="2:11" s="413" customFormat="1" ht="51.75" customHeight="1">
      <c r="B52" s="358" t="s">
        <v>310</v>
      </c>
      <c r="C52" s="359"/>
      <c r="D52" s="360"/>
      <c r="E52" s="359"/>
      <c r="F52" s="360"/>
      <c r="G52" s="359"/>
      <c r="H52" s="360"/>
      <c r="I52" s="411">
        <f>SUM(I23,I49)</f>
        <v>0</v>
      </c>
      <c r="J52" s="412"/>
    </row>
    <row r="53" spans="2:11" s="413" customFormat="1" ht="36.75" customHeight="1">
      <c r="B53" s="414" t="s">
        <v>311</v>
      </c>
      <c r="C53" s="415"/>
      <c r="D53" s="416"/>
      <c r="E53" s="415"/>
      <c r="F53" s="416"/>
      <c r="G53" s="415"/>
      <c r="H53" s="416"/>
      <c r="I53" s="417">
        <f>SUM(I24,I50)</f>
        <v>40000</v>
      </c>
      <c r="J53" s="418"/>
    </row>
    <row r="54" spans="2:11" ht="16.5" thickBot="1">
      <c r="B54" s="344"/>
      <c r="C54" s="343"/>
      <c r="D54" s="343"/>
      <c r="E54" s="343"/>
      <c r="F54" s="344"/>
      <c r="G54" s="344"/>
      <c r="H54" s="344"/>
      <c r="I54" s="344"/>
      <c r="J54" s="345"/>
      <c r="K54" s="335"/>
    </row>
    <row r="55" spans="2:11" ht="31.5" customHeight="1">
      <c r="B55" s="815" t="s">
        <v>312</v>
      </c>
      <c r="C55" s="816"/>
      <c r="D55" s="816"/>
      <c r="E55" s="816"/>
      <c r="F55" s="817"/>
      <c r="G55" s="419"/>
      <c r="H55" s="419"/>
      <c r="I55" s="419"/>
      <c r="J55" s="420"/>
      <c r="K55" s="335"/>
    </row>
    <row r="56" spans="2:11" ht="18.75">
      <c r="B56" s="421" t="s">
        <v>313</v>
      </c>
      <c r="C56" s="819"/>
      <c r="D56" s="819"/>
      <c r="E56" s="819"/>
      <c r="F56" s="820"/>
      <c r="G56" s="419"/>
      <c r="H56" s="420"/>
      <c r="K56" s="335"/>
    </row>
    <row r="57" spans="2:11" ht="45">
      <c r="B57" s="422">
        <f>IF(F5="Apply to All",('4. ACT'!F87+'5. ICM'!F99+'6. TSS'!F92+'7. CTI'!F87),IF('9. Medicaid Admin Costs'!F5="Apply to ACT Tab 4",'4. ACT'!F87,IF('9. Medicaid Admin Costs'!F5="Apply to ICM Tab 5",'5. ICM'!F99,IF('9. Medicaid Admin Costs'!F5="Apply to TSS Tab 6",'6. TSS'!F92,IF('9. Medicaid Admin Costs'!F5="Apply to CTI Tab 7",'7. CTI'!F87,"")))))</f>
        <v>242880</v>
      </c>
      <c r="C57" s="423" t="s">
        <v>314</v>
      </c>
      <c r="D57" s="424" t="s">
        <v>315</v>
      </c>
      <c r="E57" s="424" t="s">
        <v>316</v>
      </c>
      <c r="F57" s="425" t="s">
        <v>317</v>
      </c>
      <c r="G57" s="419"/>
      <c r="H57" s="420"/>
      <c r="K57" s="335"/>
    </row>
    <row r="58" spans="2:11" ht="15.75">
      <c r="B58" s="426" t="s">
        <v>318</v>
      </c>
      <c r="C58" s="427">
        <v>1</v>
      </c>
      <c r="D58" s="427">
        <v>0</v>
      </c>
      <c r="E58" s="428">
        <f>B57</f>
        <v>242880</v>
      </c>
      <c r="F58" s="429">
        <f>B57*Table1[[#This Row],[Percent of Budget covered by Medicaid Reimbursement]]</f>
        <v>0</v>
      </c>
      <c r="G58" s="419"/>
      <c r="H58" s="420"/>
      <c r="K58" s="335"/>
    </row>
    <row r="59" spans="2:11" ht="15.75">
      <c r="B59" s="426" t="s">
        <v>319</v>
      </c>
      <c r="C59" s="427">
        <v>0.99</v>
      </c>
      <c r="D59" s="427">
        <v>0.01</v>
      </c>
      <c r="E59" s="428">
        <f>E58*Table1[[#This Row],[Percent of Budget covered by Grant Funding ]]</f>
        <v>240451.20000000001</v>
      </c>
      <c r="F59" s="429">
        <f>B57*Table1[[#This Row],[Percent of Budget covered by Medicaid Reimbursement]]</f>
        <v>2428.8000000000002</v>
      </c>
      <c r="G59" s="419"/>
      <c r="H59" s="420"/>
      <c r="K59" s="335"/>
    </row>
    <row r="60" spans="2:11" ht="15.75">
      <c r="B60" s="426" t="s">
        <v>320</v>
      </c>
      <c r="C60" s="427">
        <v>0.97</v>
      </c>
      <c r="D60" s="427">
        <v>0.03</v>
      </c>
      <c r="E60" s="428">
        <f>E58*Table1[[#This Row],[Percent of Budget covered by Grant Funding ]]</f>
        <v>235593.60000000001</v>
      </c>
      <c r="F60" s="429">
        <f>B57*Table1[[#This Row],[Percent of Budget covered by Medicaid Reimbursement]]</f>
        <v>7286.4</v>
      </c>
      <c r="G60" s="419"/>
      <c r="H60" s="420"/>
      <c r="K60" s="335"/>
    </row>
    <row r="61" spans="2:11" ht="15.75">
      <c r="B61" s="426" t="s">
        <v>321</v>
      </c>
      <c r="C61" s="427">
        <v>0.95</v>
      </c>
      <c r="D61" s="430">
        <v>0.05</v>
      </c>
      <c r="E61" s="428">
        <f>E58*Table1[[#This Row],[Percent of Budget covered by Grant Funding ]]</f>
        <v>230736</v>
      </c>
      <c r="F61" s="429">
        <f>B57*Table1[[#This Row],[Percent of Budget covered by Medicaid Reimbursement]]</f>
        <v>12144</v>
      </c>
      <c r="G61" s="419"/>
      <c r="H61" s="420"/>
      <c r="K61" s="335"/>
    </row>
    <row r="62" spans="2:11" ht="15.75">
      <c r="B62" s="426" t="s">
        <v>322</v>
      </c>
      <c r="C62" s="427">
        <v>0.9</v>
      </c>
      <c r="D62" s="430">
        <v>0.1</v>
      </c>
      <c r="E62" s="428">
        <f>E58*Table1[[#This Row],[Percent of Budget covered by Grant Funding ]]</f>
        <v>218592</v>
      </c>
      <c r="F62" s="429">
        <f>B57*Table1[[#This Row],[Percent of Budget covered by Medicaid Reimbursement]]</f>
        <v>24288</v>
      </c>
      <c r="G62" s="419"/>
      <c r="H62" s="420"/>
      <c r="K62" s="335"/>
    </row>
    <row r="63" spans="2:11" ht="15.75">
      <c r="B63" s="426" t="s">
        <v>323</v>
      </c>
      <c r="C63" s="427">
        <v>0.85</v>
      </c>
      <c r="D63" s="430">
        <v>0.15</v>
      </c>
      <c r="E63" s="428">
        <f>E58*Table1[[#This Row],[Percent of Budget covered by Grant Funding ]]</f>
        <v>206448</v>
      </c>
      <c r="F63" s="429">
        <f>B57*Table1[[#This Row],[Percent of Budget covered by Medicaid Reimbursement]]</f>
        <v>36432</v>
      </c>
      <c r="G63" s="419"/>
      <c r="H63" s="420"/>
      <c r="K63" s="335"/>
    </row>
    <row r="64" spans="2:11" ht="15.75">
      <c r="B64" s="426" t="s">
        <v>324</v>
      </c>
      <c r="C64" s="427">
        <v>0.8</v>
      </c>
      <c r="D64" s="430">
        <v>0.2</v>
      </c>
      <c r="E64" s="428">
        <f>E58*Table1[[#This Row],[Percent of Budget covered by Grant Funding ]]</f>
        <v>194304</v>
      </c>
      <c r="F64" s="429">
        <f>B57*Table1[[#This Row],[Percent of Budget covered by Medicaid Reimbursement]]</f>
        <v>48576</v>
      </c>
      <c r="G64" s="419"/>
      <c r="H64" s="420"/>
      <c r="K64" s="335"/>
    </row>
    <row r="65" spans="2:11" ht="15.75">
      <c r="B65" s="426" t="s">
        <v>325</v>
      </c>
      <c r="C65" s="427">
        <v>0.7</v>
      </c>
      <c r="D65" s="430">
        <v>0.3</v>
      </c>
      <c r="E65" s="428">
        <f>E58*Table1[[#This Row],[Percent of Budget covered by Grant Funding ]]</f>
        <v>170016</v>
      </c>
      <c r="F65" s="429">
        <f>B57*Table1[[#This Row],[Percent of Budget covered by Medicaid Reimbursement]]</f>
        <v>72864</v>
      </c>
      <c r="G65" s="419"/>
      <c r="H65" s="420"/>
      <c r="K65" s="335"/>
    </row>
    <row r="66" spans="2:11" ht="15.75">
      <c r="B66" s="426" t="s">
        <v>326</v>
      </c>
      <c r="C66" s="427">
        <v>0.6</v>
      </c>
      <c r="D66" s="430">
        <v>0.4</v>
      </c>
      <c r="E66" s="428">
        <f>E58*Table1[[#This Row],[Percent of Budget covered by Grant Funding ]]</f>
        <v>145728</v>
      </c>
      <c r="F66" s="429">
        <f>B57*Table1[[#This Row],[Percent of Budget covered by Medicaid Reimbursement]]</f>
        <v>97152</v>
      </c>
      <c r="G66" s="419"/>
      <c r="H66" s="420"/>
      <c r="K66" s="335"/>
    </row>
    <row r="67" spans="2:11" ht="15.75">
      <c r="B67" s="426" t="s">
        <v>327</v>
      </c>
      <c r="C67" s="427">
        <v>0.5</v>
      </c>
      <c r="D67" s="430">
        <v>0.5</v>
      </c>
      <c r="E67" s="428">
        <f>E58*Table1[[#This Row],[Percent of Budget covered by Grant Funding ]]</f>
        <v>121440</v>
      </c>
      <c r="F67" s="429">
        <f>B57*Table1[[#This Row],[Percent of Budget covered by Medicaid Reimbursement]]</f>
        <v>121440</v>
      </c>
      <c r="G67" s="419"/>
      <c r="H67" s="420"/>
      <c r="K67" s="335"/>
    </row>
    <row r="68" spans="2:11" ht="15.75">
      <c r="B68" s="426" t="s">
        <v>328</v>
      </c>
      <c r="C68" s="427">
        <v>0.4</v>
      </c>
      <c r="D68" s="430">
        <v>0.6</v>
      </c>
      <c r="E68" s="428">
        <f>E58*Table1[[#This Row],[Percent of Budget covered by Grant Funding ]]</f>
        <v>97152</v>
      </c>
      <c r="F68" s="429">
        <f>B57*Table1[[#This Row],[Percent of Budget covered by Medicaid Reimbursement]]</f>
        <v>145728</v>
      </c>
      <c r="G68" s="419"/>
      <c r="H68" s="420"/>
      <c r="K68" s="335"/>
    </row>
    <row r="69" spans="2:11" ht="15.75">
      <c r="B69" s="426" t="s">
        <v>329</v>
      </c>
      <c r="C69" s="427">
        <v>0.3</v>
      </c>
      <c r="D69" s="430">
        <v>0.7</v>
      </c>
      <c r="E69" s="428">
        <f>E58*Table1[[#This Row],[Percent of Budget covered by Grant Funding ]]</f>
        <v>72864</v>
      </c>
      <c r="F69" s="429">
        <f>B57*Table1[[#This Row],[Percent of Budget covered by Medicaid Reimbursement]]</f>
        <v>170016</v>
      </c>
      <c r="G69" s="419"/>
      <c r="H69" s="420"/>
      <c r="K69" s="335"/>
    </row>
    <row r="70" spans="2:11" ht="16.5" thickBot="1">
      <c r="B70" s="431" t="s">
        <v>330</v>
      </c>
      <c r="C70" s="432">
        <v>0.25</v>
      </c>
      <c r="D70" s="433">
        <v>0.75</v>
      </c>
      <c r="E70" s="434">
        <f>E58*Table1[[#This Row],[Percent of Budget covered by Grant Funding ]]</f>
        <v>60720</v>
      </c>
      <c r="F70" s="435">
        <f>B57*Table1[[#This Row],[Percent of Budget covered by Medicaid Reimbursement]]</f>
        <v>182160</v>
      </c>
      <c r="G70" s="419"/>
      <c r="H70" s="420"/>
      <c r="K70" s="335"/>
    </row>
    <row r="71" spans="2:11">
      <c r="B71" s="436"/>
      <c r="F71" s="335"/>
      <c r="J71" s="438"/>
      <c r="K71" s="335"/>
    </row>
    <row r="72" spans="2:11">
      <c r="B72" s="436"/>
      <c r="F72" s="335"/>
      <c r="J72" s="438"/>
      <c r="K72" s="335"/>
    </row>
    <row r="73" spans="2:11">
      <c r="B73" s="436"/>
      <c r="F73" s="335"/>
      <c r="J73" s="438"/>
      <c r="K73" s="335"/>
    </row>
    <row r="74" spans="2:11">
      <c r="B74" s="436"/>
      <c r="F74" s="335"/>
      <c r="J74" s="438"/>
      <c r="K74" s="335"/>
    </row>
  </sheetData>
  <sheetProtection algorithmName="SHA-512" hashValue="7bxIaWHa7iS8R6r6U+MV+Omp+SUUPMSGV7n1jamCUuK//12Yf+jVfxGPk7vyV/5ZGQlhkQ8peImY+UFiD4Ot8Q==" saltValue="N9z7ulBx+T3A+jCIc2nQZA==" spinCount="100000" sheet="1" objects="1" scenarios="1"/>
  <mergeCells count="9">
    <mergeCell ref="M40:N40"/>
    <mergeCell ref="K21:L21"/>
    <mergeCell ref="B55:F55"/>
    <mergeCell ref="A2:J2"/>
    <mergeCell ref="C56:F56"/>
    <mergeCell ref="B4:J4"/>
    <mergeCell ref="B6:J6"/>
    <mergeCell ref="K40:L40"/>
    <mergeCell ref="D3:I3"/>
  </mergeCells>
  <dataValidations count="3">
    <dataValidation type="list" allowBlank="1" showInputMessage="1" showErrorMessage="1" sqref="H12:H14 H16:H17 H19 H21:H22" xr:uid="{00000000-0002-0000-0800-000000000000}">
      <formula1>"No,Yes"</formula1>
    </dataValidation>
    <dataValidation type="list" allowBlank="1" showInputMessage="1" showErrorMessage="1" sqref="C12:C14 C16:C17 C21:C22 C19 C28:C42 C44:C48" xr:uid="{00000000-0002-0000-0800-000003000000}">
      <formula1>"Required-CMS, Required-State Medicaid, Not Required (optional)"</formula1>
    </dataValidation>
    <dataValidation type="list" allowBlank="1" showInputMessage="1" showErrorMessage="1" sqref="H28:H42 H44:H48" xr:uid="{00000000-0002-0000-0800-000004000000}">
      <formula1>"Yes, No"</formula1>
    </dataValidation>
  </dataValidations>
  <hyperlinks>
    <hyperlink ref="K40" r:id="rId1" xr:uid="{00000000-0004-0000-0800-000000000000}"/>
    <hyperlink ref="M40" r:id="rId2" location="!" xr:uid="{00000000-0004-0000-0800-000001000000}"/>
    <hyperlink ref="K21:L21" r:id="rId3" display="HIPAA FAQs link to U.S. Dept of Health and Human Services website" xr:uid="{00000000-0004-0000-0800-000002000000}"/>
  </hyperlinks>
  <pageMargins left="0.7" right="0.7" top="0.75" bottom="0.75" header="0.3" footer="0.3"/>
  <pageSetup orientation="portrait" horizontalDpi="1200" verticalDpi="1200" r:id="rId4"/>
  <ignoredErrors>
    <ignoredError sqref="F58:F70" calculatedColumn="1"/>
    <ignoredError sqref="I38" formula="1"/>
  </ignoredErrors>
  <drawing r:id="rId5"/>
  <legacyDrawing r:id="rId6"/>
  <tableParts count="1">
    <tablePart r:id="rId7"/>
  </tableParts>
  <extLst>
    <ext xmlns:x14="http://schemas.microsoft.com/office/spreadsheetml/2009/9/main" uri="{78C0D931-6437-407d-A8EE-F0AAD7539E65}">
      <x14:conditionalFormattings>
        <x14:conditionalFormatting xmlns:xm="http://schemas.microsoft.com/office/excel/2006/main">
          <x14:cfRule type="expression" priority="79" id="{03A3A2BF-68DA-42C6-A00D-EBFC43DB5E54}">
            <xm:f>'3. Basic Input &amp; Assumptions'!$G$13="No"</xm:f>
            <x14:dxf>
              <font>
                <color theme="0"/>
              </font>
              <fill>
                <patternFill>
                  <bgColor theme="0"/>
                </patternFill>
              </fill>
              <border>
                <left/>
                <right/>
                <top/>
                <bottom/>
                <vertical/>
                <horizontal/>
              </border>
            </x14:dxf>
          </x14:cfRule>
          <xm:sqref>A4:K312</xm:sqref>
        </x14:conditionalFormatting>
        <x14:conditionalFormatting xmlns:xm="http://schemas.microsoft.com/office/excel/2006/main">
          <x14:cfRule type="expression" priority="80" id="{C31D4994-3B62-440D-B0E1-AA7762C009B7}">
            <xm:f>AND('3. Basic Input &amp; Assumptions'!$G$13="Yes",$C12="Not Required (optional)")</xm:f>
            <x14:dxf>
              <font>
                <color rgb="FF9C5700"/>
              </font>
              <fill>
                <patternFill>
                  <bgColor rgb="FFFFEB9C"/>
                </patternFill>
              </fill>
            </x14:dxf>
          </x14:cfRule>
          <x14:cfRule type="expression" priority="81" id="{C026BDC3-B40C-4D94-A830-27E05319790B}">
            <xm:f>AND(OR($C12="Required-CMS",$C12="Required-State Medicaid"),'3. Basic Input &amp; Assumptions'!$G$13="Yes")</xm:f>
            <x14:dxf>
              <font>
                <color rgb="FF9C0006"/>
              </font>
              <fill>
                <patternFill>
                  <bgColor rgb="FFFFC7CE"/>
                </patternFill>
              </fill>
            </x14:dxf>
          </x14:cfRule>
          <xm:sqref>C12:C48</xm:sqref>
        </x14:conditionalFormatting>
        <x14:conditionalFormatting xmlns:xm="http://schemas.microsoft.com/office/excel/2006/main">
          <x14:cfRule type="expression" priority="82" id="{2D29A806-2438-4647-88CF-8FA6FCA14C28}">
            <xm:f>'3. Basic Input &amp; Assumptions'!$G$13="No"</xm:f>
            <x14:dxf>
              <font>
                <b/>
                <i val="0"/>
                <color rgb="FFFF0000"/>
              </font>
              <fill>
                <patternFill>
                  <bgColor rgb="FFFFFF00"/>
                </patternFill>
              </fill>
            </x14:dxf>
          </x14:cfRule>
          <xm:sqref>D3:I3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promptTitle="Select Staffing Model" xr:uid="{00000000-0002-0000-0800-000001000000}">
          <x14:formula1>
            <xm:f>'LISTS - DO NOT EDIT'!$A$26:$A$30</xm:f>
          </x14:formula1>
          <xm:sqref>F5</xm:sqref>
        </x14:dataValidation>
        <x14:dataValidation type="list" allowBlank="1" showInputMessage="1" showErrorMessage="1" xr:uid="{00000000-0002-0000-0800-000002000000}">
          <x14:formula1>
            <xm:f>'LISTS - DO NOT EDIT'!$A$1:$A$5</xm:f>
          </x14:formula1>
          <xm:sqref>D21:D22 D28:D42 D12:D14 D16:D17 D19 D44:D48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06B1-731B-42A2-B36A-0A62F05F5430}">
  <dimension ref="A1:E30"/>
  <sheetViews>
    <sheetView workbookViewId="0">
      <selection activeCell="E3" sqref="E3"/>
    </sheetView>
  </sheetViews>
  <sheetFormatPr defaultRowHeight="15"/>
  <sheetData>
    <row r="1" spans="1:5">
      <c r="A1" t="s">
        <v>180</v>
      </c>
      <c r="E1" t="s">
        <v>97</v>
      </c>
    </row>
    <row r="2" spans="1:5">
      <c r="A2" t="s">
        <v>267</v>
      </c>
      <c r="E2" t="s">
        <v>88</v>
      </c>
    </row>
    <row r="3" spans="1:5">
      <c r="A3" t="s">
        <v>270</v>
      </c>
    </row>
    <row r="4" spans="1:5">
      <c r="A4" t="s">
        <v>331</v>
      </c>
    </row>
    <row r="5" spans="1:5">
      <c r="A5" t="s">
        <v>257</v>
      </c>
    </row>
    <row r="7" spans="1:5">
      <c r="A7" s="134" t="s">
        <v>180</v>
      </c>
    </row>
    <row r="8" spans="1:5" ht="15.75">
      <c r="A8" s="135" t="s">
        <v>115</v>
      </c>
      <c r="B8" s="65"/>
      <c r="C8" s="130"/>
    </row>
    <row r="9" spans="1:5" ht="15.75">
      <c r="A9" s="135" t="s">
        <v>116</v>
      </c>
      <c r="B9" s="65"/>
      <c r="C9" s="130"/>
    </row>
    <row r="10" spans="1:5" ht="15.75">
      <c r="A10" s="135" t="s">
        <v>117</v>
      </c>
      <c r="B10" s="65"/>
      <c r="C10" s="130"/>
    </row>
    <row r="11" spans="1:5" ht="15.75">
      <c r="A11" s="135" t="s">
        <v>118</v>
      </c>
      <c r="B11" s="65"/>
      <c r="C11" s="130"/>
    </row>
    <row r="12" spans="1:5" ht="15.75">
      <c r="A12" s="135" t="s">
        <v>119</v>
      </c>
      <c r="B12" s="65"/>
      <c r="C12" s="130"/>
    </row>
    <row r="13" spans="1:5" ht="15.75">
      <c r="A13" s="136" t="s">
        <v>120</v>
      </c>
      <c r="B13" s="132"/>
      <c r="C13" s="133"/>
    </row>
    <row r="15" spans="1:5" ht="15.75">
      <c r="A15" s="143" t="s">
        <v>180</v>
      </c>
    </row>
    <row r="16" spans="1:5" ht="15.75">
      <c r="A16" s="144" t="s">
        <v>115</v>
      </c>
      <c r="B16" s="145"/>
      <c r="C16" s="146"/>
    </row>
    <row r="17" spans="1:3" ht="15.75">
      <c r="A17" s="129" t="s">
        <v>116</v>
      </c>
      <c r="B17" s="65"/>
      <c r="C17" s="130"/>
    </row>
    <row r="18" spans="1:3" ht="15.75">
      <c r="A18" s="131" t="s">
        <v>120</v>
      </c>
      <c r="B18" s="132"/>
      <c r="C18" s="133"/>
    </row>
    <row r="20" spans="1:3" ht="15.75">
      <c r="A20" s="65" t="s">
        <v>180</v>
      </c>
    </row>
    <row r="21" spans="1:3" ht="15.75">
      <c r="A21" s="65" t="s">
        <v>156</v>
      </c>
    </row>
    <row r="22" spans="1:3" ht="15.75">
      <c r="A22" s="65" t="s">
        <v>332</v>
      </c>
    </row>
    <row r="23" spans="1:3" ht="15.75">
      <c r="A23" s="65" t="s">
        <v>333</v>
      </c>
    </row>
    <row r="24" spans="1:3" ht="15.75">
      <c r="A24" s="65" t="s">
        <v>334</v>
      </c>
    </row>
    <row r="26" spans="1:3" ht="15.75">
      <c r="A26" s="65" t="s">
        <v>246</v>
      </c>
    </row>
    <row r="27" spans="1:3" ht="15.75">
      <c r="A27" s="65" t="s">
        <v>335</v>
      </c>
    </row>
    <row r="28" spans="1:3" ht="15.75">
      <c r="A28" s="65" t="s">
        <v>336</v>
      </c>
    </row>
    <row r="29" spans="1:3" ht="15.75">
      <c r="A29" s="65" t="s">
        <v>337</v>
      </c>
    </row>
    <row r="30" spans="1:3" ht="15.75">
      <c r="A30" s="65" t="s">
        <v>338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K23"/>
  <sheetViews>
    <sheetView showGridLines="0" topLeftCell="A3" zoomScaleNormal="100" workbookViewId="0">
      <selection activeCell="F4" sqref="F4"/>
    </sheetView>
  </sheetViews>
  <sheetFormatPr defaultColWidth="9.140625" defaultRowHeight="15.75"/>
  <cols>
    <col min="1" max="2" width="2.85546875" style="19" customWidth="1"/>
    <col min="3" max="3" width="70.85546875" style="19" customWidth="1"/>
    <col min="4" max="4" width="25.28515625" style="19" customWidth="1"/>
    <col min="5" max="5" width="22" style="19" customWidth="1"/>
    <col min="6" max="6" width="22" style="21" customWidth="1"/>
    <col min="7" max="7" width="22" style="20" customWidth="1"/>
    <col min="8" max="10" width="9.140625" style="19" customWidth="1"/>
    <col min="11" max="16384" width="9.140625" style="19"/>
  </cols>
  <sheetData>
    <row r="1" spans="2:11" s="18" customFormat="1">
      <c r="B1" s="16"/>
      <c r="C1" s="17"/>
      <c r="D1" s="17"/>
    </row>
    <row r="2" spans="2:11" ht="48" customHeight="1">
      <c r="C2" s="23" t="s">
        <v>15</v>
      </c>
      <c r="D2" s="24"/>
      <c r="E2" s="24"/>
      <c r="F2" s="25"/>
      <c r="G2" s="26"/>
      <c r="H2" s="27"/>
      <c r="I2" s="27"/>
      <c r="J2" s="27"/>
      <c r="K2" s="41"/>
    </row>
    <row r="3" spans="2:11" ht="43.5" customHeight="1">
      <c r="C3" s="661" t="s">
        <v>16</v>
      </c>
      <c r="D3" s="661"/>
      <c r="E3" s="661"/>
      <c r="F3" s="661"/>
      <c r="G3" s="661"/>
      <c r="H3" s="27"/>
      <c r="I3" s="27"/>
      <c r="J3" s="27"/>
      <c r="K3" s="41"/>
    </row>
    <row r="4" spans="2:11" ht="68.099999999999994" customHeight="1">
      <c r="C4" s="28" t="s">
        <v>17</v>
      </c>
      <c r="D4" s="29" t="s">
        <v>18</v>
      </c>
      <c r="E4" s="30" t="s">
        <v>19</v>
      </c>
      <c r="F4" s="30" t="s">
        <v>20</v>
      </c>
      <c r="G4" s="29" t="s">
        <v>21</v>
      </c>
      <c r="H4" s="27"/>
      <c r="I4" s="27"/>
      <c r="J4" s="27"/>
      <c r="K4" s="41"/>
    </row>
    <row r="5" spans="2:11" ht="23.25">
      <c r="C5" s="31" t="s">
        <v>22</v>
      </c>
      <c r="D5" s="32">
        <f>'4. ACT'!D28</f>
        <v>0</v>
      </c>
      <c r="E5" s="32">
        <f>'5. ICM'!D40</f>
        <v>0</v>
      </c>
      <c r="F5" s="32">
        <f>'6. TSS'!D32</f>
        <v>0</v>
      </c>
      <c r="G5" s="32">
        <f>'7. CTI'!D27</f>
        <v>0</v>
      </c>
      <c r="H5" s="27"/>
      <c r="I5" s="27"/>
      <c r="K5" s="41"/>
    </row>
    <row r="6" spans="2:11" ht="23.25">
      <c r="C6" s="31" t="s">
        <v>345</v>
      </c>
      <c r="D6" s="37">
        <f>'4. ACT'!F87</f>
        <v>60720</v>
      </c>
      <c r="E6" s="37">
        <f>'5. ICM'!F99</f>
        <v>60720</v>
      </c>
      <c r="F6" s="37">
        <f>'6. TSS'!F92</f>
        <v>60720</v>
      </c>
      <c r="G6" s="37">
        <f>'7. CTI'!F87</f>
        <v>60720</v>
      </c>
      <c r="H6" s="27"/>
      <c r="I6" s="27"/>
      <c r="K6" s="41"/>
    </row>
    <row r="7" spans="2:11" ht="23.25">
      <c r="C7" s="34" t="s">
        <v>23</v>
      </c>
      <c r="D7" s="37">
        <f ca="1">'4. ACT'!G87</f>
        <v>0</v>
      </c>
      <c r="E7" s="37">
        <f ca="1">'5. ICM'!G99</f>
        <v>0</v>
      </c>
      <c r="F7" s="37">
        <f ca="1">'6. TSS'!G92</f>
        <v>0</v>
      </c>
      <c r="G7" s="37">
        <f ca="1">'7. CTI'!G87</f>
        <v>0</v>
      </c>
      <c r="H7" s="27"/>
      <c r="I7" s="27"/>
      <c r="J7" s="27"/>
      <c r="K7" s="41"/>
    </row>
    <row r="8" spans="2:11" ht="23.25">
      <c r="C8" s="31" t="s">
        <v>24</v>
      </c>
      <c r="D8" s="35">
        <f>'4. ACT'!D10</f>
        <v>100</v>
      </c>
      <c r="E8" s="35">
        <f>'5. ICM'!D18+'5. ICM'!F18</f>
        <v>0</v>
      </c>
      <c r="F8" s="35">
        <f>'6. TSS'!D18+'6. TSS'!F18</f>
        <v>0</v>
      </c>
      <c r="G8" s="35">
        <f>'7. CTI'!D15+'7. CTI'!F15</f>
        <v>0</v>
      </c>
      <c r="H8" s="27"/>
      <c r="I8" s="27"/>
      <c r="J8" s="27"/>
      <c r="K8" s="41"/>
    </row>
    <row r="9" spans="2:11" ht="23.25">
      <c r="C9" s="36" t="s">
        <v>25</v>
      </c>
      <c r="D9" s="35">
        <f>IF('4. ACT'!D39="",0,'4. ACT'!D39)</f>
        <v>0</v>
      </c>
      <c r="E9" s="35">
        <f>IF('5. ICM'!D51="",0,'5. ICM'!D51)</f>
        <v>0</v>
      </c>
      <c r="F9" s="35">
        <f>IF('6. TSS'!D44="",0,'6. TSS'!D44)</f>
        <v>0</v>
      </c>
      <c r="G9" s="35">
        <f>IF('7. CTI'!D39="",0,'7. CTI'!D39)</f>
        <v>0</v>
      </c>
      <c r="H9" s="27"/>
      <c r="I9" s="27"/>
      <c r="J9" s="27"/>
      <c r="K9" s="41"/>
    </row>
    <row r="10" spans="2:11" ht="23.25">
      <c r="C10" s="36" t="s">
        <v>26</v>
      </c>
      <c r="D10" s="37">
        <f>IF(OR(D9=0,D9=""),0,(D6/D9))</f>
        <v>0</v>
      </c>
      <c r="E10" s="37">
        <f>IF(OR(E9=0,E9=""),0,(E6/E9))</f>
        <v>0</v>
      </c>
      <c r="F10" s="37">
        <f>IF(OR(F9=0,F9=""),0,(F6/F9))</f>
        <v>0</v>
      </c>
      <c r="G10" s="37">
        <f>IF(OR(G9=0,G9=""),0,(G6/G9))</f>
        <v>0</v>
      </c>
      <c r="H10" s="27"/>
      <c r="I10" s="27"/>
      <c r="J10" s="27"/>
      <c r="K10" s="41"/>
    </row>
    <row r="11" spans="2:11" ht="23.25">
      <c r="C11" s="36" t="s">
        <v>27</v>
      </c>
      <c r="D11" s="37">
        <f>IF(D8=0,0,(D6/D8/12))</f>
        <v>50.6</v>
      </c>
      <c r="E11" s="37">
        <f>IF(E8=0,0,(E6/E8/12))</f>
        <v>0</v>
      </c>
      <c r="F11" s="37">
        <f>IF(F8=0,0,(F6/F8/12))</f>
        <v>0</v>
      </c>
      <c r="G11" s="37">
        <f>IF(G8=0,0,(G6/G8/12))</f>
        <v>0</v>
      </c>
      <c r="H11" s="27"/>
      <c r="I11" s="27"/>
      <c r="J11" s="27"/>
      <c r="K11" s="41"/>
    </row>
    <row r="12" spans="2:11" ht="23.25">
      <c r="C12" s="36" t="s">
        <v>28</v>
      </c>
      <c r="D12" s="37">
        <f>IF(D8=0,0,(D6/D8))</f>
        <v>607.20000000000005</v>
      </c>
      <c r="E12" s="37">
        <f>IF(E8=0,0,(E6/E8))</f>
        <v>0</v>
      </c>
      <c r="F12" s="37">
        <f>IF(F8=0,0,(F6/F8))</f>
        <v>0</v>
      </c>
      <c r="G12" s="37">
        <f>IF(G8=0,0,(G6/G8))</f>
        <v>0</v>
      </c>
      <c r="H12" s="27"/>
      <c r="I12" s="27"/>
      <c r="J12" s="27"/>
      <c r="K12" s="41"/>
    </row>
    <row r="13" spans="2:11" ht="23.25">
      <c r="C13" s="39"/>
      <c r="D13" s="38"/>
      <c r="E13" s="38"/>
      <c r="G13" s="38"/>
      <c r="H13" s="27"/>
      <c r="I13" s="27"/>
      <c r="J13" s="27"/>
      <c r="K13" s="41"/>
    </row>
    <row r="14" spans="2:11" ht="38.25">
      <c r="C14" s="173" t="s">
        <v>29</v>
      </c>
      <c r="D14" s="29" t="s">
        <v>18</v>
      </c>
      <c r="E14" s="30" t="s">
        <v>19</v>
      </c>
      <c r="F14" s="30" t="s">
        <v>20</v>
      </c>
      <c r="G14" s="29" t="s">
        <v>21</v>
      </c>
      <c r="H14" s="27"/>
      <c r="I14" s="27"/>
      <c r="J14" s="27"/>
      <c r="K14" s="41"/>
    </row>
    <row r="15" spans="2:11" ht="25.5" customHeight="1">
      <c r="C15" s="172" t="s">
        <v>30</v>
      </c>
      <c r="D15" s="581">
        <f>'4. ACT'!D90</f>
        <v>0</v>
      </c>
      <c r="E15" s="581">
        <f>'5. ICM'!D102</f>
        <v>0</v>
      </c>
      <c r="F15" s="581">
        <f>'6. TSS'!D95</f>
        <v>0</v>
      </c>
      <c r="G15" s="581">
        <f>'7. CTI'!D90</f>
        <v>0</v>
      </c>
      <c r="H15" s="27"/>
      <c r="I15" s="27"/>
      <c r="J15" s="27"/>
      <c r="K15" s="41"/>
    </row>
    <row r="16" spans="2:11" ht="25.5" customHeight="1">
      <c r="C16" s="172" t="s">
        <v>31</v>
      </c>
      <c r="D16" s="581">
        <f>'4. ACT'!D91</f>
        <v>0</v>
      </c>
      <c r="E16" s="581">
        <f>'5. ICM'!D103</f>
        <v>0</v>
      </c>
      <c r="F16" s="581">
        <f>'6. TSS'!D96</f>
        <v>0</v>
      </c>
      <c r="G16" s="581">
        <f>'7. CTI'!D91</f>
        <v>0</v>
      </c>
      <c r="H16" s="27"/>
      <c r="I16" s="27"/>
      <c r="J16" s="27"/>
      <c r="K16" s="41"/>
    </row>
    <row r="17" spans="3:11" ht="25.5" customHeight="1">
      <c r="C17" s="172" t="s">
        <v>32</v>
      </c>
      <c r="D17" s="581">
        <f>'4. ACT'!D92</f>
        <v>0</v>
      </c>
      <c r="E17" s="581">
        <f>'5. ICM'!D104</f>
        <v>0</v>
      </c>
      <c r="F17" s="581">
        <f>'6. TSS'!D97</f>
        <v>0</v>
      </c>
      <c r="G17" s="581">
        <f>'7. CTI'!D92</f>
        <v>0</v>
      </c>
      <c r="H17" s="41"/>
      <c r="I17" s="41"/>
      <c r="J17" s="41"/>
      <c r="K17" s="41"/>
    </row>
    <row r="18" spans="3:11" ht="25.5" customHeight="1">
      <c r="C18" s="172" t="s">
        <v>33</v>
      </c>
      <c r="D18" s="581">
        <f>'4. ACT'!D93</f>
        <v>0</v>
      </c>
      <c r="E18" s="581">
        <f>'5. ICM'!D105</f>
        <v>0</v>
      </c>
      <c r="F18" s="581">
        <f>'6. TSS'!D98</f>
        <v>0</v>
      </c>
      <c r="G18" s="581">
        <f>'7. CTI'!D93</f>
        <v>0</v>
      </c>
    </row>
    <row r="19" spans="3:11" ht="25.5" customHeight="1">
      <c r="C19" s="172" t="s">
        <v>34</v>
      </c>
      <c r="D19" s="582">
        <f>'4. ACT'!D94</f>
        <v>0</v>
      </c>
      <c r="E19" s="582">
        <f>'5. ICM'!D106</f>
        <v>0</v>
      </c>
      <c r="F19" s="582">
        <f>'6. TSS'!D99</f>
        <v>0</v>
      </c>
      <c r="G19" s="582">
        <f>'7. CTI'!D94</f>
        <v>0</v>
      </c>
    </row>
    <row r="20" spans="3:11" ht="25.5" customHeight="1">
      <c r="C20" s="172" t="s">
        <v>35</v>
      </c>
      <c r="D20" s="581">
        <f>'4. ACT'!D95</f>
        <v>0</v>
      </c>
      <c r="E20" s="581">
        <f>'5. ICM'!D107</f>
        <v>0</v>
      </c>
      <c r="F20" s="581">
        <f>'6. TSS'!D100</f>
        <v>0</v>
      </c>
      <c r="G20" s="581">
        <f>'7. CTI'!D95</f>
        <v>0</v>
      </c>
    </row>
    <row r="21" spans="3:11" ht="25.5" customHeight="1">
      <c r="C21" s="172" t="s">
        <v>36</v>
      </c>
      <c r="D21" s="581">
        <f>SUM(D15:D20)</f>
        <v>0</v>
      </c>
      <c r="E21" s="581">
        <f>SUM(E15:E20)</f>
        <v>0</v>
      </c>
      <c r="F21" s="581">
        <f>SUM(F15:F20)</f>
        <v>0</v>
      </c>
      <c r="G21" s="581">
        <f>SUM(G15:G20)</f>
        <v>0</v>
      </c>
    </row>
    <row r="23" spans="3:11" ht="18.75">
      <c r="C23" s="172" t="s">
        <v>37</v>
      </c>
      <c r="D23" s="33">
        <f>D21-D6</f>
        <v>-60720</v>
      </c>
      <c r="E23" s="33">
        <f>E21-E6</f>
        <v>-60720</v>
      </c>
      <c r="F23" s="33">
        <f>F21-F6</f>
        <v>-60720</v>
      </c>
      <c r="G23" s="33">
        <f>G21-G6</f>
        <v>-60720</v>
      </c>
    </row>
  </sheetData>
  <sheetProtection algorithmName="SHA-512" hashValue="8AZtXxBYokfiAHdttZeYb83LlMQEXzMjs1HfYzEz5/yRYfbFxV3/AN9K5WVv1VVdK4A6h8UCODHDl2Un6z9WfA==" saltValue="9DHRo8j1cHSq9dYuG9CPHg==" spinCount="100000" sheet="1" objects="1" scenarios="1"/>
  <mergeCells count="1">
    <mergeCell ref="C3:G3"/>
  </mergeCell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C5D2863D-A788-4615-A472-E06F101892F1}">
            <xm:f>'3. Basic Input &amp; Assumptions'!$G$6="No"</xm:f>
            <x14:dxf>
              <font>
                <color theme="9" tint="0.59996337778862885"/>
              </font>
            </x14:dxf>
          </x14:cfRule>
          <xm:sqref>D5:D12 D15:D21 D23</xm:sqref>
        </x14:conditionalFormatting>
        <x14:conditionalFormatting xmlns:xm="http://schemas.microsoft.com/office/excel/2006/main">
          <x14:cfRule type="expression" priority="3" id="{D14DAD75-4DD1-4C40-A100-E9E7A03FAD35}">
            <xm:f>'3. Basic Input &amp; Assumptions'!$G$7="No"</xm:f>
            <x14:dxf>
              <font>
                <color theme="9" tint="0.59996337778862885"/>
              </font>
            </x14:dxf>
          </x14:cfRule>
          <xm:sqref>E5:E12 E15:E21 E23</xm:sqref>
        </x14:conditionalFormatting>
        <x14:conditionalFormatting xmlns:xm="http://schemas.microsoft.com/office/excel/2006/main">
          <x14:cfRule type="expression" priority="2" id="{6DD40E45-438F-46E3-BC4D-074031060656}">
            <xm:f>'3. Basic Input &amp; Assumptions'!$G$8="No"</xm:f>
            <x14:dxf>
              <font>
                <color theme="9" tint="0.59996337778862885"/>
              </font>
            </x14:dxf>
          </x14:cfRule>
          <xm:sqref>F5:F12 F15:F21 F23</xm:sqref>
        </x14:conditionalFormatting>
        <x14:conditionalFormatting xmlns:xm="http://schemas.microsoft.com/office/excel/2006/main">
          <x14:cfRule type="expression" priority="1" id="{9515E3EF-8008-4C5F-8601-DD16593F19A1}">
            <xm:f>'3. Basic Input &amp; Assumptions'!$G$9="No"</xm:f>
            <x14:dxf>
              <font>
                <color theme="9" tint="0.59996337778862885"/>
              </font>
            </x14:dxf>
          </x14:cfRule>
          <xm:sqref>G5:G12 G15:G21 G23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C1527-14A6-4BF5-9B67-85B84533BD05}">
  <sheetPr>
    <tabColor theme="9"/>
  </sheetPr>
  <dimension ref="A1:K57"/>
  <sheetViews>
    <sheetView showGridLines="0" zoomScaleNormal="100" workbookViewId="0">
      <selection activeCell="C57" sqref="C57"/>
    </sheetView>
  </sheetViews>
  <sheetFormatPr defaultColWidth="9.140625" defaultRowHeight="15.75"/>
  <cols>
    <col min="1" max="1" width="1.42578125" customWidth="1"/>
    <col min="2" max="2" width="37.5703125" style="49" customWidth="1"/>
    <col min="3" max="3" width="17.7109375" style="19" customWidth="1"/>
    <col min="4" max="4" width="1.85546875" customWidth="1"/>
    <col min="5" max="5" width="17.7109375" style="19" customWidth="1"/>
    <col min="6" max="7" width="17.7109375" customWidth="1"/>
    <col min="8" max="8" width="17.7109375" style="19" customWidth="1"/>
    <col min="9" max="9" width="1.85546875" customWidth="1"/>
    <col min="10" max="10" width="25" bestFit="1" customWidth="1"/>
    <col min="11" max="11" width="26.85546875" bestFit="1" customWidth="1"/>
  </cols>
  <sheetData>
    <row r="1" spans="1:11" s="18" customFormat="1">
      <c r="B1" s="16"/>
      <c r="C1" s="17"/>
      <c r="D1" s="17"/>
    </row>
    <row r="2" spans="1:11" s="19" customFormat="1" ht="48" customHeight="1">
      <c r="A2" s="666" t="s">
        <v>38</v>
      </c>
      <c r="B2" s="666"/>
      <c r="C2" s="666"/>
      <c r="D2" s="666"/>
      <c r="E2" s="666"/>
      <c r="F2" s="666"/>
      <c r="G2" s="666"/>
      <c r="H2" s="666"/>
      <c r="I2" s="666"/>
      <c r="J2" s="666"/>
      <c r="K2" s="666"/>
    </row>
    <row r="3" spans="1:11" s="19" customFormat="1" ht="68.25" customHeight="1" thickBot="1">
      <c r="B3" s="665" t="s">
        <v>39</v>
      </c>
      <c r="C3" s="665"/>
      <c r="D3" s="665"/>
      <c r="E3" s="665"/>
      <c r="F3" s="665"/>
      <c r="G3" s="665"/>
      <c r="H3" s="665"/>
      <c r="I3" s="665"/>
      <c r="J3" s="665"/>
      <c r="K3" s="665"/>
    </row>
    <row r="4" spans="1:11" ht="21">
      <c r="B4"/>
      <c r="C4" s="667" t="s">
        <v>40</v>
      </c>
      <c r="D4" s="668"/>
      <c r="E4" s="668"/>
      <c r="F4" s="668"/>
      <c r="G4" s="668"/>
      <c r="H4" s="668"/>
      <c r="I4" s="668"/>
      <c r="J4" s="669"/>
    </row>
    <row r="5" spans="1:11" ht="21.75" customHeight="1" thickBot="1">
      <c r="B5"/>
      <c r="C5" s="662" t="str">
        <f>IF(AND('3. Basic Input &amp; Assumptions'!$G$6="Yes",'3. Basic Input &amp; Assumptions'!$G$7="Yes",'3. Basic Input &amp; Assumptions'!$G$8="Yes",'3. Basic Input &amp; Assumptions'!$G$9="Yes"),"ACT, ICM, TSS, CTI",IF(AND('3. Basic Input &amp; Assumptions'!$G$6="Yes",'3. Basic Input &amp; Assumptions'!$G$7="Yes",'3. Basic Input &amp; Assumptions'!$G$8="Yes",OR('3. Basic Input &amp; Assumptions'!$G$9="No",'3. Basic Input &amp; Assumptions'!$G$9="")),"ACT ICM, TSS",IF(AND('3. Basic Input &amp; Assumptions'!$G$6="Yes",'3. Basic Input &amp; Assumptions'!$G$7="Yes",OR('3. Basic Input &amp; Assumptions'!$G$8="No",'3. Basic Input &amp; Assumptions'!$G$8=""),OR('3. Basic Input &amp; Assumptions'!$G$9="No",'3. Basic Input &amp; Assumptions'!$G$9="")),"ACT, ICM",IF(AND('3. Basic Input &amp; Assumptions'!$G$6="Yes",OR('3. Basic Input &amp; Assumptions'!$G$7="No",'3. Basic Input &amp; Assumptions'!$G$7=""),OR('3. Basic Input &amp; Assumptions'!$G$8="No",'3. Basic Input &amp; Assumptions'!$G$8=""),OR('3. Basic Input &amp; Assumptions'!$G$9="No",'3. Basic Input &amp; Assumptions'!$G$9="")),"ACT",IF(AND('3. Basic Input &amp; Assumptions'!$G$6="Yes",OR('3. Basic Input &amp; Assumptions'!$G$7="No",'3. Basic Input &amp; Assumptions'!$G$7=""),'3. Basic Input &amp; Assumptions'!$G$8="Yes",'3. Basic Input &amp; Assumptions'!$G$9="Yes"),"ACT, TSS, CTI",IF(AND('3. Basic Input &amp; Assumptions'!$G$6="Yes",OR('3. Basic Input &amp; Assumptions'!$G$7="No",'3. Basic Input &amp; Assumptions'!$G$7=""),'3. Basic Input &amp; Assumptions'!$G$8="Yes",OR('3. Basic Input &amp; Assumptions'!$G$9="No",'3. Basic Input &amp; Assumptions'!$G$9="")),"ACT, TSS",IF(AND('3. Basic Input &amp; Assumptions'!$G$6="Yes",OR('3. Basic Input &amp; Assumptions'!$G$7="No",'3. Basic Input &amp; Assumptions'!$G$7=""),OR('3. Basic Input &amp; Assumptions'!$G$8="No",'3. Basic Input &amp; Assumptions'!$G$8=""),'3. Basic Input &amp; Assumptions'!$G$9="Yes"),"ACT, CTI",IF(AND('3. Basic Input &amp; Assumptions'!$G$6="Yes",'3. Basic Input &amp; Assumptions'!$G$7="Yes",OR('3. Basic Input &amp; Assumptions'!$G$8="No",'3. Basic Input &amp; Assumptions'!$G$8=""),'3. Basic Input &amp; Assumptions'!$G$9="Yes"),"ACT, ICM, CTI",IF(AND(OR('3. Basic Input &amp; Assumptions'!$G$6="No",'3. Basic Input &amp; Assumptions'!$G$6=""),'3. Basic Input &amp; Assumptions'!$G$7="Yes",'3. Basic Input &amp; Assumptions'!$G$8="Yes",'3. Basic Input &amp; Assumptions'!$G$9="Yes"),"ICM, TSS, CTI",IF(AND(OR('3. Basic Input &amp; Assumptions'!$G$6="No",'3. Basic Input &amp; Assumptions'!$G$6=""),'3. Basic Input &amp; Assumptions'!$G$7="Yes",'3. Basic Input &amp; Assumptions'!$G$8="Yes",OR('3. Basic Input &amp; Assumptions'!$G$9="No",'3. Basic Input &amp; Assumptions'!$G$9="")),"ICM, TSS",IF(AND(OR('3. Basic Input &amp; Assumptions'!$G$6="No",'3. Basic Input &amp; Assumptions'!$G$6=""),'3. Basic Input &amp; Assumptions'!$G$7="Yes",OR('3. Basic Input &amp; Assumptions'!$G$8="No",'3. Basic Input &amp; Assumptions'!$G$8=""),'3. Basic Input &amp; Assumptions'!$G$9="Yes"),"ICM, CTI",IF(AND(OR('3. Basic Input &amp; Assumptions'!$G$6="No",'3. Basic Input &amp; Assumptions'!$G$6=""),'3. Basic Input &amp; Assumptions'!$G$7="Yes",OR('3. Basic Input &amp; Assumptions'!$G$8="No",'3. Basic Input &amp; Assumptions'!$G$8=""),OR('3. Basic Input &amp; Assumptions'!$G$9="No",'3. Basic Input &amp; Assumptions'!$G$9="")),"ICM",IF(AND(OR('3. Basic Input &amp; Assumptions'!$G$6="No",'3. Basic Input &amp; Assumptions'!$G$6=""),OR('3. Basic Input &amp; Assumptions'!$G$7="No",'3. Basic Input &amp; Assumptions'!$G$7=""),'3. Basic Input &amp; Assumptions'!$G$8="Yes",OR('3. Basic Input &amp; Assumptions'!$G$9="No",'3. Basic Input &amp; Assumptions'!$G$9="")),"TSS",IF(AND(OR('3. Basic Input &amp; Assumptions'!$G$6="No",'3. Basic Input &amp; Assumptions'!$G$6=""),OR('3. Basic Input &amp; Assumptions'!$G$7="No",'3. Basic Input &amp; Assumptions'!$G$7=""),'3. Basic Input &amp; Assumptions'!$G$8="Yes",'3. Basic Input &amp; Assumptions'!$G$9="Yes"),"TSS, CTI",IF(AND(OR('3. Basic Input &amp; Assumptions'!$G$6="No",'3. Basic Input &amp; Assumptions'!$G$6=""),OR('3. Basic Input &amp; Assumptions'!$G$7="No",'3. Basic Input &amp; Assumptions'!$G$7=""),OR('3. Basic Input &amp; Assumptions'!$G$8="No",'3. Basic Input &amp; Assumptions'!$G$8=""),'3. Basic Input &amp; Assumptions'!$G$9="Yes"),"CTI","None")))))))))))))))</f>
        <v>None</v>
      </c>
      <c r="D5" s="663"/>
      <c r="E5" s="663"/>
      <c r="F5" s="663"/>
      <c r="G5" s="663"/>
      <c r="H5" s="663"/>
      <c r="I5" s="663"/>
      <c r="J5" s="664"/>
    </row>
    <row r="6" spans="1:11" ht="5.25" customHeight="1">
      <c r="B6"/>
      <c r="C6" s="198"/>
      <c r="D6" s="198"/>
      <c r="E6" s="198"/>
      <c r="F6" s="198"/>
      <c r="G6" s="198"/>
      <c r="H6" s="198"/>
      <c r="I6" s="198"/>
      <c r="J6" s="198"/>
    </row>
    <row r="7" spans="1:11" ht="15.75" customHeight="1">
      <c r="B7"/>
      <c r="C7" s="673" t="str">
        <f>IF(AND('3. Basic Input &amp; Assumptions'!G12="Yes",'3. Basic Input &amp; Assumptions'!G13="Yes"),"Includes Start Up and New Medicaid Provider Costs",IF(AND('3. Basic Input &amp; Assumptions'!G12="Yes",OR('3. Basic Input &amp; Assumptions'!G13="No",'3. Basic Input &amp; Assumptions'!G13="")),"Includes Start Up Costs",IF(AND('3. Basic Input &amp; Assumptions'!G13="Yes",OR('3. Basic Input &amp; Assumptions'!G12="No",'3. Basic Input &amp; Assumptions'!G12="")),"Includes New Medicaid Provider Costs",IF(AND(OR('3. Basic Input &amp; Assumptions'!G12="No",'3. Basic Input &amp; Assumptions'!G12=""),OR('3. Basic Input &amp; Assumptions'!G13="No",'3. Basic Input &amp; Assumptions'!G13="")),"Does not include Start Up or New Medicaid Provider Costs",""))))</f>
        <v>Includes New Medicaid Provider Costs</v>
      </c>
      <c r="D7" s="673"/>
      <c r="E7" s="673"/>
      <c r="F7" s="673"/>
      <c r="G7" s="673"/>
      <c r="H7" s="673"/>
      <c r="I7" s="673"/>
      <c r="J7" s="673"/>
    </row>
    <row r="8" spans="1:11" ht="6" customHeight="1" thickBot="1"/>
    <row r="9" spans="1:11" ht="16.5" thickBot="1">
      <c r="B9" s="670" t="s">
        <v>41</v>
      </c>
      <c r="C9" s="671"/>
      <c r="D9" s="671"/>
      <c r="E9" s="671"/>
      <c r="F9" s="671"/>
      <c r="G9" s="671"/>
      <c r="H9" s="671"/>
      <c r="I9" s="671"/>
      <c r="J9" s="671"/>
      <c r="K9" s="672"/>
    </row>
    <row r="10" spans="1:11" ht="16.5" thickBot="1">
      <c r="B10" s="180" t="s">
        <v>42</v>
      </c>
      <c r="C10" s="181" t="s">
        <v>36</v>
      </c>
      <c r="E10" s="313" t="s">
        <v>43</v>
      </c>
      <c r="F10" s="314" t="s">
        <v>44</v>
      </c>
      <c r="G10" s="314" t="s">
        <v>45</v>
      </c>
      <c r="H10" s="314" t="s">
        <v>46</v>
      </c>
      <c r="J10" s="568" t="s">
        <v>47</v>
      </c>
      <c r="K10" s="569" t="s">
        <v>48</v>
      </c>
    </row>
    <row r="11" spans="1:11" ht="16.5" thickTop="1">
      <c r="B11" s="119" t="s">
        <v>49</v>
      </c>
      <c r="C11" s="99">
        <f>IF(AND('3. Basic Input &amp; Assumptions'!$G$6="Yes",'3. Basic Input &amp; Assumptions'!$G$7="Yes",'3. Basic Input &amp; Assumptions'!$G$8="Yes",'3. Basic Input &amp; Assumptions'!$G$9="Yes"),'2b. Annual Total Budget Summary'!E11+'2b. Annual Total Budget Summary'!F11+'2b. Annual Total Budget Summary'!G11+'2b. Annual Total Budget Summary'!H11+'2b. Annual Total Budget Summary'!J11+'2b. Annual Total Budget Summary'!K11,IF(AND('3. Basic Input &amp; Assumptions'!$G$6="Yes",'3. Basic Input &amp; Assumptions'!$G$7="Yes",'3. Basic Input &amp; Assumptions'!$G$8="Yes",OR('3. Basic Input &amp; Assumptions'!$G$9="No",'3. Basic Input &amp; Assumptions'!$G$9="")),'2b. Annual Total Budget Summary'!E11+'2b. Annual Total Budget Summary'!F11+'2b. Annual Total Budget Summary'!G11+'2b. Annual Total Budget Summary'!J11+'2b. Annual Total Budget Summary'!K11,IF(AND('3. Basic Input &amp; Assumptions'!$G$6="Yes",'3. Basic Input &amp; Assumptions'!$G$7="Yes",OR('3. Basic Input &amp; Assumptions'!$G$8="No",'3. Basic Input &amp; Assumptions'!$G$8=""),OR('3. Basic Input &amp; Assumptions'!$G$9="No",'3. Basic Input &amp; Assumptions'!$G$9="")),'2b. Annual Total Budget Summary'!E11+'2b. Annual Total Budget Summary'!F11+'2b. Annual Total Budget Summary'!J11+'2b. Annual Total Budget Summary'!K11,IF(AND('3. Basic Input &amp; Assumptions'!$G$6="Yes",OR('3. Basic Input &amp; Assumptions'!$G$7="No",'3. Basic Input &amp; Assumptions'!$G$7=""),OR('3. Basic Input &amp; Assumptions'!$G$8="No",'3. Basic Input &amp; Assumptions'!$G$8=""),OR('3. Basic Input &amp; Assumptions'!$G$9="No",'3. Basic Input &amp; Assumptions'!$G$9="")),'2b. Annual Total Budget Summary'!E11+'2b. Annual Total Budget Summary'!J11+'2b. Annual Total Budget Summary'!K11,IF(AND('3. Basic Input &amp; Assumptions'!$G$6="Yes",OR('3. Basic Input &amp; Assumptions'!$G$7="No",'3. Basic Input &amp; Assumptions'!$G$7=""),'3. Basic Input &amp; Assumptions'!$G$8="Yes",'3. Basic Input &amp; Assumptions'!$G$9="Yes"),'2b. Annual Total Budget Summary'!E11+'2b. Annual Total Budget Summary'!G11+'2b. Annual Total Budget Summary'!H11+'2b. Annual Total Budget Summary'!J11+'2b. Annual Total Budget Summary'!K11,IF(AND('3. Basic Input &amp; Assumptions'!$G$6="Yes",OR('3. Basic Input &amp; Assumptions'!$G$7="No",'3. Basic Input &amp; Assumptions'!$G$7=""),'3. Basic Input &amp; Assumptions'!$G$8="Yes",OR('3. Basic Input &amp; Assumptions'!$G$9="No",'3. Basic Input &amp; Assumptions'!$G$9="")),'2b. Annual Total Budget Summary'!E11+'2b. Annual Total Budget Summary'!G11+'2b. Annual Total Budget Summary'!J11+'2b. Annual Total Budget Summary'!K11,IF(AND('3. Basic Input &amp; Assumptions'!$G$6="Yes",OR('3. Basic Input &amp; Assumptions'!$G$7="No",'3. Basic Input &amp; Assumptions'!$G$7=""),OR('3. Basic Input &amp; Assumptions'!$G$8="No",'3. Basic Input &amp; Assumptions'!$G$8=""),'3. Basic Input &amp; Assumptions'!$G$9="Yes"),'2b. Annual Total Budget Summary'!E11+'2b. Annual Total Budget Summary'!H11+'2b. Annual Total Budget Summary'!J11+'2b. Annual Total Budget Summary'!K11,IF(AND('3. Basic Input &amp; Assumptions'!$G$6="Yes",'3. Basic Input &amp; Assumptions'!$G$7="Yes",OR('3. Basic Input &amp; Assumptions'!$G$8="No",'3. Basic Input &amp; Assumptions'!$G$8=""),'3. Basic Input &amp; Assumptions'!$G$9="Yes"),'2b. Annual Total Budget Summary'!E11+'2b. Annual Total Budget Summary'!F11+'2b. Annual Total Budget Summary'!H11+'2b. Annual Total Budget Summary'!J11+'2b. Annual Total Budget Summary'!K11,IF(AND(OR('3. Basic Input &amp; Assumptions'!$G$6="No",'3. Basic Input &amp; Assumptions'!$G$6=""),'3. Basic Input &amp; Assumptions'!$G$7="Yes",'3. Basic Input &amp; Assumptions'!$G$8="Yes",'3. Basic Input &amp; Assumptions'!$G$9="Yes"),'2b. Annual Total Budget Summary'!F11+'2b. Annual Total Budget Summary'!G11+'2b. Annual Total Budget Summary'!H11+'2b. Annual Total Budget Summary'!J11+'2b. Annual Total Budget Summary'!K11,IF(AND(OR('3. Basic Input &amp; Assumptions'!$G$6="No",'3. Basic Input &amp; Assumptions'!$G$6=""),'3. Basic Input &amp; Assumptions'!$G$7="Yes",'3. Basic Input &amp; Assumptions'!$G$8="Yes",OR('3. Basic Input &amp; Assumptions'!$G$9="No",'3. Basic Input &amp; Assumptions'!$G$9="")),'2b. Annual Total Budget Summary'!F11+'2b. Annual Total Budget Summary'!G11+'2b. Annual Total Budget Summary'!J11+'2b. Annual Total Budget Summary'!K11,IF(AND(OR('3. Basic Input &amp; Assumptions'!$G$6="No",'3. Basic Input &amp; Assumptions'!$G$6=""),'3. Basic Input &amp; Assumptions'!$G$7="Yes",OR('3. Basic Input &amp; Assumptions'!$G$8="No",'3. Basic Input &amp; Assumptions'!$G$8=""),'3. Basic Input &amp; Assumptions'!$G$9="Yes"),'2b. Annual Total Budget Summary'!F11+'2b. Annual Total Budget Summary'!H11+'2b. Annual Total Budget Summary'!J11+'2b. Annual Total Budget Summary'!K11,IF(AND(OR('3. Basic Input &amp; Assumptions'!$G$6="No",'3. Basic Input &amp; Assumptions'!$G$6=""),'3. Basic Input &amp; Assumptions'!$G$7="Yes",OR('3. Basic Input &amp; Assumptions'!$G$8="No",'3. Basic Input &amp; Assumptions'!$G$8=""),OR('3. Basic Input &amp; Assumptions'!$G$9="No",'3. Basic Input &amp; Assumptions'!$G$9="")),'2b. Annual Total Budget Summary'!F11+'2b. Annual Total Budget Summary'!J11+'2b. Annual Total Budget Summary'!K11,IF(AND(OR('3. Basic Input &amp; Assumptions'!$G$6="No",'3. Basic Input &amp; Assumptions'!$G$6=""),OR('3. Basic Input &amp; Assumptions'!$G$7="No",'3. Basic Input &amp; Assumptions'!$G$7=""),'3. Basic Input &amp; Assumptions'!$G$8="Yes",OR('3. Basic Input &amp; Assumptions'!$G$9="No",'3. Basic Input &amp; Assumptions'!$G$9="")),'2b. Annual Total Budget Summary'!G11+'2b. Annual Total Budget Summary'!J11+'2b. Annual Total Budget Summary'!K11,IF(AND(OR('3. Basic Input &amp; Assumptions'!$G$6="No",'3. Basic Input &amp; Assumptions'!$G$6=""),OR('3. Basic Input &amp; Assumptions'!$G$7="No",'3. Basic Input &amp; Assumptions'!$G$7=""),'3. Basic Input &amp; Assumptions'!$G$8="Yes",'3. Basic Input &amp; Assumptions'!$G$9="Yes"),'2b. Annual Total Budget Summary'!G11+'2b. Annual Total Budget Summary'!H11+'2b. Annual Total Budget Summary'!J11+'2b. Annual Total Budget Summary'!K11,IF(AND(OR('3. Basic Input &amp; Assumptions'!$G$6="No",'3. Basic Input &amp; Assumptions'!$G$6=""),OR('3. Basic Input &amp; Assumptions'!$G$7="No",'3. Basic Input &amp; Assumptions'!$G$7=""),OR('3. Basic Input &amp; Assumptions'!$G$8="No",'3. Basic Input &amp; Assumptions'!$G$8=""),'3. Basic Input &amp; Assumptions'!$G$9="Yes"),'2b. Annual Total Budget Summary'!H11+'2b. Annual Total Budget Summary'!J11+'2b. Annual Total Budget Summary'!K11,0)))))))))))))))</f>
        <v>0</v>
      </c>
      <c r="E11" s="211" t="str">
        <f>IF('3. Basic Input &amp; Assumptions'!$G$6="Yes",'4. ACT'!D52,"")</f>
        <v/>
      </c>
      <c r="F11" s="99" t="str">
        <f>IF('3. Basic Input &amp; Assumptions'!$G$7="Yes",'5. ICM'!D64,"")</f>
        <v/>
      </c>
      <c r="G11" s="99" t="str">
        <f>IF('3. Basic Input &amp; Assumptions'!$G$8="Yes",'6. TSS'!D57,"")</f>
        <v/>
      </c>
      <c r="H11" s="99" t="str">
        <f>IF('3. Basic Input &amp; Assumptions'!$G$9="Yes",'7. CTI'!D52,"")</f>
        <v/>
      </c>
      <c r="J11" s="182"/>
      <c r="K11" s="115">
        <f>IF('3. Basic Input &amp; Assumptions'!G13="Yes",SUM('9. Medicaid Admin Costs'!I12:I14),0)</f>
        <v>40000</v>
      </c>
    </row>
    <row r="12" spans="1:11">
      <c r="B12" s="94" t="s">
        <v>50</v>
      </c>
      <c r="C12" s="95">
        <f>IF(AND('3. Basic Input &amp; Assumptions'!$G$6="Yes",'3. Basic Input &amp; Assumptions'!$G$7="Yes",'3. Basic Input &amp; Assumptions'!$G$8="Yes",'3. Basic Input &amp; Assumptions'!$G$9="Yes"),'2b. Annual Total Budget Summary'!E12+'2b. Annual Total Budget Summary'!F12+'2b. Annual Total Budget Summary'!G12+'2b. Annual Total Budget Summary'!H12+'2b. Annual Total Budget Summary'!J12+'2b. Annual Total Budget Summary'!K12,IF(AND('3. Basic Input &amp; Assumptions'!$G$6="Yes",'3. Basic Input &amp; Assumptions'!$G$7="Yes",'3. Basic Input &amp; Assumptions'!$G$8="Yes",OR('3. Basic Input &amp; Assumptions'!$G$9="No",'3. Basic Input &amp; Assumptions'!$G$9="")),'2b. Annual Total Budget Summary'!E12+'2b. Annual Total Budget Summary'!F12+'2b. Annual Total Budget Summary'!G12+'2b. Annual Total Budget Summary'!J12+'2b. Annual Total Budget Summary'!K12,IF(AND('3. Basic Input &amp; Assumptions'!$G$6="Yes",'3. Basic Input &amp; Assumptions'!$G$7="Yes",OR('3. Basic Input &amp; Assumptions'!$G$8="No",'3. Basic Input &amp; Assumptions'!$G$8=""),OR('3. Basic Input &amp; Assumptions'!$G$9="No",'3. Basic Input &amp; Assumptions'!$G$9="")),'2b. Annual Total Budget Summary'!E12+'2b. Annual Total Budget Summary'!F12+'2b. Annual Total Budget Summary'!J12+'2b. Annual Total Budget Summary'!K12,IF(AND('3. Basic Input &amp; Assumptions'!$G$6="Yes",OR('3. Basic Input &amp; Assumptions'!$G$7="No",'3. Basic Input &amp; Assumptions'!$G$7=""),OR('3. Basic Input &amp; Assumptions'!$G$8="No",'3. Basic Input &amp; Assumptions'!$G$8=""),OR('3. Basic Input &amp; Assumptions'!$G$9="No",'3. Basic Input &amp; Assumptions'!$G$9="")),'2b. Annual Total Budget Summary'!E12+'2b. Annual Total Budget Summary'!J12+'2b. Annual Total Budget Summary'!K12,IF(AND('3. Basic Input &amp; Assumptions'!$G$6="Yes",OR('3. Basic Input &amp; Assumptions'!$G$7="No",'3. Basic Input &amp; Assumptions'!$G$7=""),'3. Basic Input &amp; Assumptions'!$G$8="Yes",'3. Basic Input &amp; Assumptions'!$G$9="Yes"),'2b. Annual Total Budget Summary'!E12+'2b. Annual Total Budget Summary'!G12+'2b. Annual Total Budget Summary'!H12+'2b. Annual Total Budget Summary'!J12+'2b. Annual Total Budget Summary'!K12,IF(AND('3. Basic Input &amp; Assumptions'!$G$6="Yes",OR('3. Basic Input &amp; Assumptions'!$G$7="No",'3. Basic Input &amp; Assumptions'!$G$7=""),'3. Basic Input &amp; Assumptions'!$G$8="Yes",OR('3. Basic Input &amp; Assumptions'!$G$9="No",'3. Basic Input &amp; Assumptions'!$G$9="")),'2b. Annual Total Budget Summary'!E12+'2b. Annual Total Budget Summary'!G12+'2b. Annual Total Budget Summary'!J12+'2b. Annual Total Budget Summary'!K12,IF(AND('3. Basic Input &amp; Assumptions'!$G$6="Yes",OR('3. Basic Input &amp; Assumptions'!$G$7="No",'3. Basic Input &amp; Assumptions'!$G$7=""),OR('3. Basic Input &amp; Assumptions'!$G$8="No",'3. Basic Input &amp; Assumptions'!$G$8=""),'3. Basic Input &amp; Assumptions'!$G$9="Yes"),'2b. Annual Total Budget Summary'!E12+'2b. Annual Total Budget Summary'!H12+'2b. Annual Total Budget Summary'!J12+'2b. Annual Total Budget Summary'!K12,IF(AND('3. Basic Input &amp; Assumptions'!$G$6="Yes",'3. Basic Input &amp; Assumptions'!$G$7="Yes",OR('3. Basic Input &amp; Assumptions'!$G$8="No",'3. Basic Input &amp; Assumptions'!$G$8=""),'3. Basic Input &amp; Assumptions'!$G$9="Yes"),'2b. Annual Total Budget Summary'!E12+'2b. Annual Total Budget Summary'!F12+'2b. Annual Total Budget Summary'!H12+'2b. Annual Total Budget Summary'!J12+'2b. Annual Total Budget Summary'!K12,IF(AND(OR('3. Basic Input &amp; Assumptions'!$G$6="No",'3. Basic Input &amp; Assumptions'!$G$6=""),'3. Basic Input &amp; Assumptions'!$G$7="Yes",'3. Basic Input &amp; Assumptions'!$G$8="Yes",'3. Basic Input &amp; Assumptions'!$G$9="Yes"),'2b. Annual Total Budget Summary'!F12+'2b. Annual Total Budget Summary'!G12+'2b. Annual Total Budget Summary'!H12+'2b. Annual Total Budget Summary'!J12+'2b. Annual Total Budget Summary'!K12,IF(AND(OR('3. Basic Input &amp; Assumptions'!$G$6="No",'3. Basic Input &amp; Assumptions'!$G$6=""),'3. Basic Input &amp; Assumptions'!$G$7="Yes",'3. Basic Input &amp; Assumptions'!$G$8="Yes",OR('3. Basic Input &amp; Assumptions'!$G$9="No",'3. Basic Input &amp; Assumptions'!$G$9="")),'2b. Annual Total Budget Summary'!F12+'2b. Annual Total Budget Summary'!G12+'2b. Annual Total Budget Summary'!J12+'2b. Annual Total Budget Summary'!K12,IF(AND(OR('3. Basic Input &amp; Assumptions'!$G$6="No",'3. Basic Input &amp; Assumptions'!$G$6=""),'3. Basic Input &amp; Assumptions'!$G$7="Yes",OR('3. Basic Input &amp; Assumptions'!$G$8="No",'3. Basic Input &amp; Assumptions'!$G$8=""),'3. Basic Input &amp; Assumptions'!$G$9="Yes"),'2b. Annual Total Budget Summary'!F12+'2b. Annual Total Budget Summary'!H12+'2b. Annual Total Budget Summary'!J12+'2b. Annual Total Budget Summary'!K12,IF(AND(OR('3. Basic Input &amp; Assumptions'!$G$6="No",'3. Basic Input &amp; Assumptions'!$G$6=""),'3. Basic Input &amp; Assumptions'!$G$7="Yes",OR('3. Basic Input &amp; Assumptions'!$G$8="No",'3. Basic Input &amp; Assumptions'!$G$8=""),OR('3. Basic Input &amp; Assumptions'!$G$9="No",'3. Basic Input &amp; Assumptions'!$G$9="")),'2b. Annual Total Budget Summary'!F12+'2b. Annual Total Budget Summary'!J12+'2b. Annual Total Budget Summary'!K12,IF(AND(OR('3. Basic Input &amp; Assumptions'!$G$6="No",'3. Basic Input &amp; Assumptions'!$G$6=""),OR('3. Basic Input &amp; Assumptions'!$G$7="No",'3. Basic Input &amp; Assumptions'!$G$7=""),'3. Basic Input &amp; Assumptions'!$G$8="Yes",OR('3. Basic Input &amp; Assumptions'!$G$9="No",'3. Basic Input &amp; Assumptions'!$G$9="")),'2b. Annual Total Budget Summary'!G12+'2b. Annual Total Budget Summary'!J12+'2b. Annual Total Budget Summary'!K12,IF(AND(OR('3. Basic Input &amp; Assumptions'!$G$6="No",'3. Basic Input &amp; Assumptions'!$G$6=""),OR('3. Basic Input &amp; Assumptions'!$G$7="No",'3. Basic Input &amp; Assumptions'!$G$7=""),'3. Basic Input &amp; Assumptions'!$G$8="Yes",'3. Basic Input &amp; Assumptions'!$G$9="Yes"),'2b. Annual Total Budget Summary'!G12+'2b. Annual Total Budget Summary'!H12+'2b. Annual Total Budget Summary'!J12+'2b. Annual Total Budget Summary'!K12,IF(AND(OR('3. Basic Input &amp; Assumptions'!$G$6="No",'3. Basic Input &amp; Assumptions'!$G$6=""),OR('3. Basic Input &amp; Assumptions'!$G$7="No",'3. Basic Input &amp; Assumptions'!$G$7=""),OR('3. Basic Input &amp; Assumptions'!$G$8="No",'3. Basic Input &amp; Assumptions'!$G$8=""),'3. Basic Input &amp; Assumptions'!$G$9="Yes"),'2b. Annual Total Budget Summary'!H12+'2b. Annual Total Budget Summary'!J12+'2b. Annual Total Budget Summary'!K12,0)))))))))))))))</f>
        <v>0</v>
      </c>
      <c r="E12" s="215" t="str">
        <f>IF('3. Basic Input &amp; Assumptions'!$G$6="Yes",'4. ACT'!D53,"")</f>
        <v/>
      </c>
      <c r="F12" s="95" t="str">
        <f>IF('3. Basic Input &amp; Assumptions'!$G$7="Yes",'5. ICM'!D65,"")</f>
        <v/>
      </c>
      <c r="G12" s="99" t="str">
        <f>IF('3. Basic Input &amp; Assumptions'!$G$8="Yes",'6. TSS'!D58,"")</f>
        <v/>
      </c>
      <c r="H12" s="99" t="str">
        <f>IF('3. Basic Input &amp; Assumptions'!$G$9="Yes",'7. CTI'!D53,"")</f>
        <v/>
      </c>
      <c r="J12" s="183"/>
      <c r="K12" s="116">
        <f>IF('3. Basic Input &amp; Assumptions'!G13="Yes",'2b. Annual Total Budget Summary'!K11*'3. Basic Input &amp; Assumptions'!K20,0)</f>
        <v>12800</v>
      </c>
    </row>
    <row r="13" spans="1:11">
      <c r="B13" s="94" t="s">
        <v>51</v>
      </c>
      <c r="C13" s="95">
        <f>IF(AND('3. Basic Input &amp; Assumptions'!$G$6="Yes",'3. Basic Input &amp; Assumptions'!$G$7="Yes",'3. Basic Input &amp; Assumptions'!$G$8="Yes",'3. Basic Input &amp; Assumptions'!$G$9="Yes"),'2b. Annual Total Budget Summary'!E13+'2b. Annual Total Budget Summary'!F13+'2b. Annual Total Budget Summary'!G13+'2b. Annual Total Budget Summary'!H13+'2b. Annual Total Budget Summary'!J13+'2b. Annual Total Budget Summary'!K13,IF(AND('3. Basic Input &amp; Assumptions'!$G$6="Yes",'3. Basic Input &amp; Assumptions'!$G$7="Yes",'3. Basic Input &amp; Assumptions'!$G$8="Yes",OR('3. Basic Input &amp; Assumptions'!$G$9="No",'3. Basic Input &amp; Assumptions'!$G$9="")),'2b. Annual Total Budget Summary'!E13+'2b. Annual Total Budget Summary'!F13+'2b. Annual Total Budget Summary'!G13+'2b. Annual Total Budget Summary'!J13+'2b. Annual Total Budget Summary'!K13,IF(AND('3. Basic Input &amp; Assumptions'!$G$6="Yes",'3. Basic Input &amp; Assumptions'!$G$7="Yes",OR('3. Basic Input &amp; Assumptions'!$G$8="No",'3. Basic Input &amp; Assumptions'!$G$8=""),OR('3. Basic Input &amp; Assumptions'!$G$9="No",'3. Basic Input &amp; Assumptions'!$G$9="")),'2b. Annual Total Budget Summary'!E13+'2b. Annual Total Budget Summary'!F13+'2b. Annual Total Budget Summary'!J13+'2b. Annual Total Budget Summary'!K13,IF(AND('3. Basic Input &amp; Assumptions'!$G$6="Yes",OR('3. Basic Input &amp; Assumptions'!$G$7="No",'3. Basic Input &amp; Assumptions'!$G$7=""),OR('3. Basic Input &amp; Assumptions'!$G$8="No",'3. Basic Input &amp; Assumptions'!$G$8=""),OR('3. Basic Input &amp; Assumptions'!$G$9="No",'3. Basic Input &amp; Assumptions'!$G$9="")),'2b. Annual Total Budget Summary'!E13+'2b. Annual Total Budget Summary'!J13+'2b. Annual Total Budget Summary'!K13,IF(AND('3. Basic Input &amp; Assumptions'!$G$6="Yes",OR('3. Basic Input &amp; Assumptions'!$G$7="No",'3. Basic Input &amp; Assumptions'!$G$7=""),'3. Basic Input &amp; Assumptions'!$G$8="Yes",'3. Basic Input &amp; Assumptions'!$G$9="Yes"),'2b. Annual Total Budget Summary'!E13+'2b. Annual Total Budget Summary'!G13+'2b. Annual Total Budget Summary'!H13+'2b. Annual Total Budget Summary'!J13+'2b. Annual Total Budget Summary'!K13,IF(AND('3. Basic Input &amp; Assumptions'!$G$6="Yes",OR('3. Basic Input &amp; Assumptions'!$G$7="No",'3. Basic Input &amp; Assumptions'!$G$7=""),'3. Basic Input &amp; Assumptions'!$G$8="Yes",OR('3. Basic Input &amp; Assumptions'!$G$9="No",'3. Basic Input &amp; Assumptions'!$G$9="")),'2b. Annual Total Budget Summary'!E13+'2b. Annual Total Budget Summary'!G13+'2b. Annual Total Budget Summary'!J13+'2b. Annual Total Budget Summary'!K13,IF(AND('3. Basic Input &amp; Assumptions'!$G$6="Yes",OR('3. Basic Input &amp; Assumptions'!$G$7="No",'3. Basic Input &amp; Assumptions'!$G$7=""),OR('3. Basic Input &amp; Assumptions'!$G$8="No",'3. Basic Input &amp; Assumptions'!$G$8=""),'3. Basic Input &amp; Assumptions'!$G$9="Yes"),'2b. Annual Total Budget Summary'!E13+'2b. Annual Total Budget Summary'!H13+'2b. Annual Total Budget Summary'!J13+'2b. Annual Total Budget Summary'!K13,IF(AND('3. Basic Input &amp; Assumptions'!$G$6="Yes",'3. Basic Input &amp; Assumptions'!$G$7="Yes",OR('3. Basic Input &amp; Assumptions'!$G$8="No",'3. Basic Input &amp; Assumptions'!$G$8=""),'3. Basic Input &amp; Assumptions'!$G$9="Yes"),'2b. Annual Total Budget Summary'!E13+'2b. Annual Total Budget Summary'!F13+'2b. Annual Total Budget Summary'!H13+'2b. Annual Total Budget Summary'!J13+'2b. Annual Total Budget Summary'!K13,IF(AND(OR('3. Basic Input &amp; Assumptions'!$G$6="No",'3. Basic Input &amp; Assumptions'!$G$6=""),'3. Basic Input &amp; Assumptions'!$G$7="Yes",'3. Basic Input &amp; Assumptions'!$G$8="Yes",'3. Basic Input &amp; Assumptions'!$G$9="Yes"),'2b. Annual Total Budget Summary'!F13+'2b. Annual Total Budget Summary'!G13+'2b. Annual Total Budget Summary'!H13+'2b. Annual Total Budget Summary'!J13+'2b. Annual Total Budget Summary'!K13,IF(AND(OR('3. Basic Input &amp; Assumptions'!$G$6="No",'3. Basic Input &amp; Assumptions'!$G$6=""),'3. Basic Input &amp; Assumptions'!$G$7="Yes",'3. Basic Input &amp; Assumptions'!$G$8="Yes",OR('3. Basic Input &amp; Assumptions'!$G$9="No",'3. Basic Input &amp; Assumptions'!$G$9="")),'2b. Annual Total Budget Summary'!F13+'2b. Annual Total Budget Summary'!G13+'2b. Annual Total Budget Summary'!J13+'2b. Annual Total Budget Summary'!K13,IF(AND(OR('3. Basic Input &amp; Assumptions'!$G$6="No",'3. Basic Input &amp; Assumptions'!$G$6=""),'3. Basic Input &amp; Assumptions'!$G$7="Yes",OR('3. Basic Input &amp; Assumptions'!$G$8="No",'3. Basic Input &amp; Assumptions'!$G$8=""),'3. Basic Input &amp; Assumptions'!$G$9="Yes"),'2b. Annual Total Budget Summary'!F13+'2b. Annual Total Budget Summary'!H13+'2b. Annual Total Budget Summary'!J13+'2b. Annual Total Budget Summary'!K13,IF(AND(OR('3. Basic Input &amp; Assumptions'!$G$6="No",'3. Basic Input &amp; Assumptions'!$G$6=""),'3. Basic Input &amp; Assumptions'!$G$7="Yes",OR('3. Basic Input &amp; Assumptions'!$G$8="No",'3. Basic Input &amp; Assumptions'!$G$8=""),OR('3. Basic Input &amp; Assumptions'!$G$9="No",'3. Basic Input &amp; Assumptions'!$G$9="")),'2b. Annual Total Budget Summary'!F13+'2b. Annual Total Budget Summary'!J13+'2b. Annual Total Budget Summary'!K13,IF(AND(OR('3. Basic Input &amp; Assumptions'!$G$6="No",'3. Basic Input &amp; Assumptions'!$G$6=""),OR('3. Basic Input &amp; Assumptions'!$G$7="No",'3. Basic Input &amp; Assumptions'!$G$7=""),'3. Basic Input &amp; Assumptions'!$G$8="Yes",OR('3. Basic Input &amp; Assumptions'!$G$9="No",'3. Basic Input &amp; Assumptions'!$G$9="")),'2b. Annual Total Budget Summary'!G13+'2b. Annual Total Budget Summary'!J13+'2b. Annual Total Budget Summary'!K13,IF(AND(OR('3. Basic Input &amp; Assumptions'!$G$6="No",'3. Basic Input &amp; Assumptions'!$G$6=""),OR('3. Basic Input &amp; Assumptions'!$G$7="No",'3. Basic Input &amp; Assumptions'!$G$7=""),'3. Basic Input &amp; Assumptions'!$G$8="Yes",'3. Basic Input &amp; Assumptions'!$G$9="Yes"),'2b. Annual Total Budget Summary'!G13+'2b. Annual Total Budget Summary'!H13+'2b. Annual Total Budget Summary'!J13+'2b. Annual Total Budget Summary'!K13,IF(AND(OR('3. Basic Input &amp; Assumptions'!$G$6="No",'3. Basic Input &amp; Assumptions'!$G$6=""),OR('3. Basic Input &amp; Assumptions'!$G$7="No",'3. Basic Input &amp; Assumptions'!$G$7=""),OR('3. Basic Input &amp; Assumptions'!$G$8="No",'3. Basic Input &amp; Assumptions'!$G$8=""),'3. Basic Input &amp; Assumptions'!$G$9="Yes"),'2b. Annual Total Budget Summary'!H13+'2b. Annual Total Budget Summary'!J13+'2b. Annual Total Budget Summary'!K13,0)))))))))))))))</f>
        <v>0</v>
      </c>
      <c r="E13" s="215" t="str">
        <f>IF('3. Basic Input &amp; Assumptions'!$G$6="Yes",'4. ACT'!D54,"")</f>
        <v/>
      </c>
      <c r="F13" s="95" t="str">
        <f>IF('3. Basic Input &amp; Assumptions'!$G$7="Yes",'5. ICM'!D66,"")</f>
        <v/>
      </c>
      <c r="G13" s="99" t="str">
        <f>IF('3. Basic Input &amp; Assumptions'!$G$8="Yes",'6. TSS'!D59,"")</f>
        <v/>
      </c>
      <c r="H13" s="99" t="str">
        <f>IF('3. Basic Input &amp; Assumptions'!$G$9="Yes",'7. CTI'!D54,"")</f>
        <v/>
      </c>
      <c r="J13" s="183"/>
      <c r="K13" s="116">
        <f>IF('3. Basic Input &amp; Assumptions'!G13="Yes",SUM('9. Medicaid Admin Costs'!I16:I17),0)</f>
        <v>0</v>
      </c>
    </row>
    <row r="14" spans="1:11">
      <c r="B14" s="94" t="s">
        <v>52</v>
      </c>
      <c r="C14" s="95">
        <f>IF(AND('3. Basic Input &amp; Assumptions'!$G$6="Yes",'3. Basic Input &amp; Assumptions'!$G$7="Yes",'3. Basic Input &amp; Assumptions'!$G$8="Yes",'3. Basic Input &amp; Assumptions'!$G$9="Yes"),'2b. Annual Total Budget Summary'!E14+'2b. Annual Total Budget Summary'!F14+'2b. Annual Total Budget Summary'!G14+'2b. Annual Total Budget Summary'!H14+'2b. Annual Total Budget Summary'!J14+'2b. Annual Total Budget Summary'!K14,IF(AND('3. Basic Input &amp; Assumptions'!$G$6="Yes",'3. Basic Input &amp; Assumptions'!$G$7="Yes",'3. Basic Input &amp; Assumptions'!$G$8="Yes",OR('3. Basic Input &amp; Assumptions'!$G$9="No",'3. Basic Input &amp; Assumptions'!$G$9="")),'2b. Annual Total Budget Summary'!E14+'2b. Annual Total Budget Summary'!F14+'2b. Annual Total Budget Summary'!G14+'2b. Annual Total Budget Summary'!J14+'2b. Annual Total Budget Summary'!K14,IF(AND('3. Basic Input &amp; Assumptions'!$G$6="Yes",'3. Basic Input &amp; Assumptions'!$G$7="Yes",OR('3. Basic Input &amp; Assumptions'!$G$8="No",'3. Basic Input &amp; Assumptions'!$G$8=""),OR('3. Basic Input &amp; Assumptions'!$G$9="No",'3. Basic Input &amp; Assumptions'!$G$9="")),'2b. Annual Total Budget Summary'!E14+'2b. Annual Total Budget Summary'!F14+'2b. Annual Total Budget Summary'!J14+'2b. Annual Total Budget Summary'!K14,IF(AND('3. Basic Input &amp; Assumptions'!$G$6="Yes",OR('3. Basic Input &amp; Assumptions'!$G$7="No",'3. Basic Input &amp; Assumptions'!$G$7=""),OR('3. Basic Input &amp; Assumptions'!$G$8="No",'3. Basic Input &amp; Assumptions'!$G$8=""),OR('3. Basic Input &amp; Assumptions'!$G$9="No",'3. Basic Input &amp; Assumptions'!$G$9="")),'2b. Annual Total Budget Summary'!E14+'2b. Annual Total Budget Summary'!J14+'2b. Annual Total Budget Summary'!K14,IF(AND('3. Basic Input &amp; Assumptions'!$G$6="Yes",OR('3. Basic Input &amp; Assumptions'!$G$7="No",'3. Basic Input &amp; Assumptions'!$G$7=""),'3. Basic Input &amp; Assumptions'!$G$8="Yes",'3. Basic Input &amp; Assumptions'!$G$9="Yes"),'2b. Annual Total Budget Summary'!E14+'2b. Annual Total Budget Summary'!G14+'2b. Annual Total Budget Summary'!H14+'2b. Annual Total Budget Summary'!J14+'2b. Annual Total Budget Summary'!K14,IF(AND('3. Basic Input &amp; Assumptions'!$G$6="Yes",OR('3. Basic Input &amp; Assumptions'!$G$7="No",'3. Basic Input &amp; Assumptions'!$G$7=""),'3. Basic Input &amp; Assumptions'!$G$8="Yes",OR('3. Basic Input &amp; Assumptions'!$G$9="No",'3. Basic Input &amp; Assumptions'!$G$9="")),'2b. Annual Total Budget Summary'!E14+'2b. Annual Total Budget Summary'!G14+'2b. Annual Total Budget Summary'!J14+'2b. Annual Total Budget Summary'!K14,IF(AND('3. Basic Input &amp; Assumptions'!$G$6="Yes",OR('3. Basic Input &amp; Assumptions'!$G$7="No",'3. Basic Input &amp; Assumptions'!$G$7=""),OR('3. Basic Input &amp; Assumptions'!$G$8="No",'3. Basic Input &amp; Assumptions'!$G$8=""),'3. Basic Input &amp; Assumptions'!$G$9="Yes"),'2b. Annual Total Budget Summary'!E14+'2b. Annual Total Budget Summary'!H14+'2b. Annual Total Budget Summary'!J14+'2b. Annual Total Budget Summary'!K14,IF(AND('3. Basic Input &amp; Assumptions'!$G$6="Yes",'3. Basic Input &amp; Assumptions'!$G$7="Yes",OR('3. Basic Input &amp; Assumptions'!$G$8="No",'3. Basic Input &amp; Assumptions'!$G$8=""),'3. Basic Input &amp; Assumptions'!$G$9="Yes"),'2b. Annual Total Budget Summary'!E14+'2b. Annual Total Budget Summary'!F14+'2b. Annual Total Budget Summary'!H14+'2b. Annual Total Budget Summary'!J14+'2b. Annual Total Budget Summary'!K14,IF(AND(OR('3. Basic Input &amp; Assumptions'!$G$6="No",'3. Basic Input &amp; Assumptions'!$G$6=""),'3. Basic Input &amp; Assumptions'!$G$7="Yes",'3. Basic Input &amp; Assumptions'!$G$8="Yes",'3. Basic Input &amp; Assumptions'!$G$9="Yes"),'2b. Annual Total Budget Summary'!F14+'2b. Annual Total Budget Summary'!G14+'2b. Annual Total Budget Summary'!H14+'2b. Annual Total Budget Summary'!J14+'2b. Annual Total Budget Summary'!K14,IF(AND(OR('3. Basic Input &amp; Assumptions'!$G$6="No",'3. Basic Input &amp; Assumptions'!$G$6=""),'3. Basic Input &amp; Assumptions'!$G$7="Yes",'3. Basic Input &amp; Assumptions'!$G$8="Yes",OR('3. Basic Input &amp; Assumptions'!$G$9="No",'3. Basic Input &amp; Assumptions'!$G$9="")),'2b. Annual Total Budget Summary'!F14+'2b. Annual Total Budget Summary'!G14+'2b. Annual Total Budget Summary'!J14+'2b. Annual Total Budget Summary'!K14,IF(AND(OR('3. Basic Input &amp; Assumptions'!$G$6="No",'3. Basic Input &amp; Assumptions'!$G$6=""),'3. Basic Input &amp; Assumptions'!$G$7="Yes",OR('3. Basic Input &amp; Assumptions'!$G$8="No",'3. Basic Input &amp; Assumptions'!$G$8=""),'3. Basic Input &amp; Assumptions'!$G$9="Yes"),'2b. Annual Total Budget Summary'!F14+'2b. Annual Total Budget Summary'!H14+'2b. Annual Total Budget Summary'!J14+'2b. Annual Total Budget Summary'!K14,IF(AND(OR('3. Basic Input &amp; Assumptions'!$G$6="No",'3. Basic Input &amp; Assumptions'!$G$6=""),'3. Basic Input &amp; Assumptions'!$G$7="Yes",OR('3. Basic Input &amp; Assumptions'!$G$8="No",'3. Basic Input &amp; Assumptions'!$G$8=""),OR('3. Basic Input &amp; Assumptions'!$G$9="No",'3. Basic Input &amp; Assumptions'!$G$9="")),'2b. Annual Total Budget Summary'!F14+'2b. Annual Total Budget Summary'!J14+'2b. Annual Total Budget Summary'!K14,IF(AND(OR('3. Basic Input &amp; Assumptions'!$G$6="No",'3. Basic Input &amp; Assumptions'!$G$6=""),OR('3. Basic Input &amp; Assumptions'!$G$7="No",'3. Basic Input &amp; Assumptions'!$G$7=""),'3. Basic Input &amp; Assumptions'!$G$8="Yes",OR('3. Basic Input &amp; Assumptions'!$G$9="No",'3. Basic Input &amp; Assumptions'!$G$9="")),'2b. Annual Total Budget Summary'!G14+'2b. Annual Total Budget Summary'!J14+'2b. Annual Total Budget Summary'!K14,IF(AND(OR('3. Basic Input &amp; Assumptions'!$G$6="No",'3. Basic Input &amp; Assumptions'!$G$6=""),OR('3. Basic Input &amp; Assumptions'!$G$7="No",'3. Basic Input &amp; Assumptions'!$G$7=""),'3. Basic Input &amp; Assumptions'!$G$8="Yes",'3. Basic Input &amp; Assumptions'!$G$9="Yes"),'2b. Annual Total Budget Summary'!G14+'2b. Annual Total Budget Summary'!H14+'2b. Annual Total Budget Summary'!J14+'2b. Annual Total Budget Summary'!K14,IF(AND(OR('3. Basic Input &amp; Assumptions'!$G$6="No",'3. Basic Input &amp; Assumptions'!$G$6=""),OR('3. Basic Input &amp; Assumptions'!$G$7="No",'3. Basic Input &amp; Assumptions'!$G$7=""),OR('3. Basic Input &amp; Assumptions'!$G$8="No",'3. Basic Input &amp; Assumptions'!$G$8=""),'3. Basic Input &amp; Assumptions'!$G$9="Yes"),'2b. Annual Total Budget Summary'!H14+'2b. Annual Total Budget Summary'!J14+'2b. Annual Total Budget Summary'!K14,0)))))))))))))))</f>
        <v>0</v>
      </c>
      <c r="E14" s="215" t="str">
        <f>IF('3. Basic Input &amp; Assumptions'!$G$6="Yes",'4. ACT'!D55,"")</f>
        <v/>
      </c>
      <c r="F14" s="95" t="str">
        <f>IF('3. Basic Input &amp; Assumptions'!$G$7="Yes",'5. ICM'!D67,"")</f>
        <v/>
      </c>
      <c r="G14" s="99" t="str">
        <f>IF('3. Basic Input &amp; Assumptions'!$G$8="Yes",'6. TSS'!D60,"")</f>
        <v/>
      </c>
      <c r="H14" s="99" t="str">
        <f>IF('3. Basic Input &amp; Assumptions'!$G$9="Yes",'7. CTI'!D55,"")</f>
        <v/>
      </c>
      <c r="J14" s="184">
        <f>IF('3. Basic Input &amp; Assumptions'!$G$12="Yes",SUM('8. General Startup Costs'!$F$10:$F$15),0)</f>
        <v>0</v>
      </c>
      <c r="K14" s="116">
        <f>IF(OR('3. Basic Input &amp; Assumptions'!G13="No",'2b. Annual Total Budget Summary'!J14&lt;&gt;0),0,'9. Medicaid Admin Costs'!I19)</f>
        <v>0</v>
      </c>
    </row>
    <row r="15" spans="1:11">
      <c r="B15" s="96" t="s">
        <v>53</v>
      </c>
      <c r="C15" s="97">
        <f>IF(AND('3. Basic Input &amp; Assumptions'!$G$6="Yes",'3. Basic Input &amp; Assumptions'!$G$7="Yes",'3. Basic Input &amp; Assumptions'!$G$8="Yes",'3. Basic Input &amp; Assumptions'!$G$9="Yes"),'2b. Annual Total Budget Summary'!E15+'2b. Annual Total Budget Summary'!F15+'2b. Annual Total Budget Summary'!G15+'2b. Annual Total Budget Summary'!H15+'2b. Annual Total Budget Summary'!J15+'2b. Annual Total Budget Summary'!K15,IF(AND('3. Basic Input &amp; Assumptions'!$G$6="Yes",'3. Basic Input &amp; Assumptions'!$G$7="Yes",'3. Basic Input &amp; Assumptions'!$G$8="Yes",OR('3. Basic Input &amp; Assumptions'!$G$9="No",'3. Basic Input &amp; Assumptions'!$G$9="")),'2b. Annual Total Budget Summary'!E15+'2b. Annual Total Budget Summary'!F15+'2b. Annual Total Budget Summary'!G15+'2b. Annual Total Budget Summary'!J15+'2b. Annual Total Budget Summary'!K15,IF(AND('3. Basic Input &amp; Assumptions'!$G$6="Yes",'3. Basic Input &amp; Assumptions'!$G$7="Yes",OR('3. Basic Input &amp; Assumptions'!$G$8="No",'3. Basic Input &amp; Assumptions'!$G$8=""),OR('3. Basic Input &amp; Assumptions'!$G$9="No",'3. Basic Input &amp; Assumptions'!$G$9="")),'2b. Annual Total Budget Summary'!E15+'2b. Annual Total Budget Summary'!F15+'2b. Annual Total Budget Summary'!J15+'2b. Annual Total Budget Summary'!K15,IF(AND('3. Basic Input &amp; Assumptions'!$G$6="Yes",OR('3. Basic Input &amp; Assumptions'!$G$7="No",'3. Basic Input &amp; Assumptions'!$G$7=""),OR('3. Basic Input &amp; Assumptions'!$G$8="No",'3. Basic Input &amp; Assumptions'!$G$8=""),OR('3. Basic Input &amp; Assumptions'!$G$9="No",'3. Basic Input &amp; Assumptions'!$G$9="")),'2b. Annual Total Budget Summary'!E15+'2b. Annual Total Budget Summary'!J15+'2b. Annual Total Budget Summary'!K15,IF(AND('3. Basic Input &amp; Assumptions'!$G$6="Yes",OR('3. Basic Input &amp; Assumptions'!$G$7="No",'3. Basic Input &amp; Assumptions'!$G$7=""),'3. Basic Input &amp; Assumptions'!$G$8="Yes",'3. Basic Input &amp; Assumptions'!$G$9="Yes"),'2b. Annual Total Budget Summary'!E15+'2b. Annual Total Budget Summary'!G15+'2b. Annual Total Budget Summary'!H15+'2b. Annual Total Budget Summary'!J15+'2b. Annual Total Budget Summary'!K15,IF(AND('3. Basic Input &amp; Assumptions'!$G$6="Yes",OR('3. Basic Input &amp; Assumptions'!$G$7="No",'3. Basic Input &amp; Assumptions'!$G$7=""),'3. Basic Input &amp; Assumptions'!$G$8="Yes",OR('3. Basic Input &amp; Assumptions'!$G$9="No",'3. Basic Input &amp; Assumptions'!$G$9="")),'2b. Annual Total Budget Summary'!E15+'2b. Annual Total Budget Summary'!G15+'2b. Annual Total Budget Summary'!J15+'2b. Annual Total Budget Summary'!K15,IF(AND('3. Basic Input &amp; Assumptions'!$G$6="Yes",OR('3. Basic Input &amp; Assumptions'!$G$7="No",'3. Basic Input &amp; Assumptions'!$G$7=""),OR('3. Basic Input &amp; Assumptions'!$G$8="No",'3. Basic Input &amp; Assumptions'!$G$8=""),'3. Basic Input &amp; Assumptions'!$G$9="Yes"),'2b. Annual Total Budget Summary'!E15+'2b. Annual Total Budget Summary'!H15+'2b. Annual Total Budget Summary'!J15+'2b. Annual Total Budget Summary'!K15,IF(AND('3. Basic Input &amp; Assumptions'!$G$6="Yes",'3. Basic Input &amp; Assumptions'!$G$7="Yes",OR('3. Basic Input &amp; Assumptions'!$G$8="No",'3. Basic Input &amp; Assumptions'!$G$8=""),'3. Basic Input &amp; Assumptions'!$G$9="Yes"),'2b. Annual Total Budget Summary'!E15+'2b. Annual Total Budget Summary'!F15+'2b. Annual Total Budget Summary'!H15+'2b. Annual Total Budget Summary'!J15+'2b. Annual Total Budget Summary'!K15,IF(AND(OR('3. Basic Input &amp; Assumptions'!$G$6="No",'3. Basic Input &amp; Assumptions'!$G$6=""),'3. Basic Input &amp; Assumptions'!$G$7="Yes",'3. Basic Input &amp; Assumptions'!$G$8="Yes",'3. Basic Input &amp; Assumptions'!$G$9="Yes"),'2b. Annual Total Budget Summary'!F15+'2b. Annual Total Budget Summary'!G15+'2b. Annual Total Budget Summary'!H15+'2b. Annual Total Budget Summary'!J15+'2b. Annual Total Budget Summary'!K15,IF(AND(OR('3. Basic Input &amp; Assumptions'!$G$6="No",'3. Basic Input &amp; Assumptions'!$G$6=""),'3. Basic Input &amp; Assumptions'!$G$7="Yes",'3. Basic Input &amp; Assumptions'!$G$8="Yes",OR('3. Basic Input &amp; Assumptions'!$G$9="No",'3. Basic Input &amp; Assumptions'!$G$9="")),'2b. Annual Total Budget Summary'!F15+'2b. Annual Total Budget Summary'!G15+'2b. Annual Total Budget Summary'!J15+'2b. Annual Total Budget Summary'!K15,IF(AND(OR('3. Basic Input &amp; Assumptions'!$G$6="No",'3. Basic Input &amp; Assumptions'!$G$6=""),'3. Basic Input &amp; Assumptions'!$G$7="Yes",OR('3. Basic Input &amp; Assumptions'!$G$8="No",'3. Basic Input &amp; Assumptions'!$G$8=""),'3. Basic Input &amp; Assumptions'!$G$9="Yes"),'2b. Annual Total Budget Summary'!F15+'2b. Annual Total Budget Summary'!H15+'2b. Annual Total Budget Summary'!J15+'2b. Annual Total Budget Summary'!K15,IF(AND(OR('3. Basic Input &amp; Assumptions'!$G$6="No",'3. Basic Input &amp; Assumptions'!$G$6=""),'3. Basic Input &amp; Assumptions'!$G$7="Yes",OR('3. Basic Input &amp; Assumptions'!$G$8="No",'3. Basic Input &amp; Assumptions'!$G$8=""),OR('3. Basic Input &amp; Assumptions'!$G$9="No",'3. Basic Input &amp; Assumptions'!$G$9="")),'2b. Annual Total Budget Summary'!F15+'2b. Annual Total Budget Summary'!J15+'2b. Annual Total Budget Summary'!K15,IF(AND(OR('3. Basic Input &amp; Assumptions'!$G$6="No",'3. Basic Input &amp; Assumptions'!$G$6=""),OR('3. Basic Input &amp; Assumptions'!$G$7="No",'3. Basic Input &amp; Assumptions'!$G$7=""),'3. Basic Input &amp; Assumptions'!$G$8="Yes",OR('3. Basic Input &amp; Assumptions'!$G$9="No",'3. Basic Input &amp; Assumptions'!$G$9="")),'2b. Annual Total Budget Summary'!G15+'2b. Annual Total Budget Summary'!J15+'2b. Annual Total Budget Summary'!K15,IF(AND(OR('3. Basic Input &amp; Assumptions'!$G$6="No",'3. Basic Input &amp; Assumptions'!$G$6=""),OR('3. Basic Input &amp; Assumptions'!$G$7="No",'3. Basic Input &amp; Assumptions'!$G$7=""),'3. Basic Input &amp; Assumptions'!$G$8="Yes",'3. Basic Input &amp; Assumptions'!$G$9="Yes"),'2b. Annual Total Budget Summary'!G15+'2b. Annual Total Budget Summary'!H15+'2b. Annual Total Budget Summary'!J15+'2b. Annual Total Budget Summary'!K15,IF(AND(OR('3. Basic Input &amp; Assumptions'!$G$6="No",'3. Basic Input &amp; Assumptions'!$G$6=""),OR('3. Basic Input &amp; Assumptions'!$G$7="No",'3. Basic Input &amp; Assumptions'!$G$7=""),OR('3. Basic Input &amp; Assumptions'!$G$8="No",'3. Basic Input &amp; Assumptions'!$G$8=""),'3. Basic Input &amp; Assumptions'!$G$9="Yes"),'2b. Annual Total Budget Summary'!H15+'2b. Annual Total Budget Summary'!J15+'2b. Annual Total Budget Summary'!K15,0)))))))))))))))</f>
        <v>0</v>
      </c>
      <c r="E15" s="315" t="str">
        <f>IF('3. Basic Input &amp; Assumptions'!$G$6="Yes",'4. ACT'!D56,"")</f>
        <v/>
      </c>
      <c r="F15" s="200" t="str">
        <f>IF('3. Basic Input &amp; Assumptions'!$G$7="Yes",'5. ICM'!D68,"")</f>
        <v/>
      </c>
      <c r="G15" s="302" t="str">
        <f>IF('3. Basic Input &amp; Assumptions'!$G$8="Yes",'6. TSS'!D61,"")</f>
        <v/>
      </c>
      <c r="H15" s="302" t="str">
        <f>IF('3. Basic Input &amp; Assumptions'!$G$9="Yes",'7. CTI'!D56,"")</f>
        <v/>
      </c>
      <c r="J15" s="185">
        <f>IF('3. Basic Input &amp; Assumptions'!G12="Yes",SUM('8. General Startup Costs'!$F$17:$F$20),0)</f>
        <v>0</v>
      </c>
      <c r="K15" s="186">
        <f>IF('3. Basic Input &amp; Assumptions'!G13="Yes",SUM('9. Medicaid Admin Costs'!I21:I22),0)</f>
        <v>0</v>
      </c>
    </row>
    <row r="16" spans="1:11">
      <c r="B16" s="98" t="s">
        <v>54</v>
      </c>
      <c r="C16" s="99">
        <f>IF(AND('3. Basic Input &amp; Assumptions'!$G$6="Yes",'3. Basic Input &amp; Assumptions'!$G$7="Yes",'3. Basic Input &amp; Assumptions'!$G$8="Yes",'3. Basic Input &amp; Assumptions'!$G$9="Yes"),'2b. Annual Total Budget Summary'!E16+'2b. Annual Total Budget Summary'!F16+'2b. Annual Total Budget Summary'!G16+'2b. Annual Total Budget Summary'!H16+'2b. Annual Total Budget Summary'!J16+'2b. Annual Total Budget Summary'!K16,IF(AND('3. Basic Input &amp; Assumptions'!$G$6="Yes",'3. Basic Input &amp; Assumptions'!$G$7="Yes",'3. Basic Input &amp; Assumptions'!$G$8="Yes",OR('3. Basic Input &amp; Assumptions'!$G$9="No",'3. Basic Input &amp; Assumptions'!$G$9="")),'2b. Annual Total Budget Summary'!E16+'2b. Annual Total Budget Summary'!F16+'2b. Annual Total Budget Summary'!G16+'2b. Annual Total Budget Summary'!J16+'2b. Annual Total Budget Summary'!K16,IF(AND('3. Basic Input &amp; Assumptions'!$G$6="Yes",'3. Basic Input &amp; Assumptions'!$G$7="Yes",OR('3. Basic Input &amp; Assumptions'!$G$8="No",'3. Basic Input &amp; Assumptions'!$G$8=""),OR('3. Basic Input &amp; Assumptions'!$G$9="No",'3. Basic Input &amp; Assumptions'!$G$9="")),'2b. Annual Total Budget Summary'!E16+'2b. Annual Total Budget Summary'!F16+'2b. Annual Total Budget Summary'!J16+'2b. Annual Total Budget Summary'!K16,IF(AND('3. Basic Input &amp; Assumptions'!$G$6="Yes",OR('3. Basic Input &amp; Assumptions'!$G$7="No",'3. Basic Input &amp; Assumptions'!$G$7=""),OR('3. Basic Input &amp; Assumptions'!$G$8="No",'3. Basic Input &amp; Assumptions'!$G$8=""),OR('3. Basic Input &amp; Assumptions'!$G$9="No",'3. Basic Input &amp; Assumptions'!$G$9="")),'2b. Annual Total Budget Summary'!E16+'2b. Annual Total Budget Summary'!J16+'2b. Annual Total Budget Summary'!K16,IF(AND('3. Basic Input &amp; Assumptions'!$G$6="Yes",OR('3. Basic Input &amp; Assumptions'!$G$7="No",'3. Basic Input &amp; Assumptions'!$G$7=""),'3. Basic Input &amp; Assumptions'!$G$8="Yes",'3. Basic Input &amp; Assumptions'!$G$9="Yes"),'2b. Annual Total Budget Summary'!E16+'2b. Annual Total Budget Summary'!G16+'2b. Annual Total Budget Summary'!H16+'2b. Annual Total Budget Summary'!J16+'2b. Annual Total Budget Summary'!K16,IF(AND('3. Basic Input &amp; Assumptions'!$G$6="Yes",OR('3. Basic Input &amp; Assumptions'!$G$7="No",'3. Basic Input &amp; Assumptions'!$G$7=""),'3. Basic Input &amp; Assumptions'!$G$8="Yes",OR('3. Basic Input &amp; Assumptions'!$G$9="No",'3. Basic Input &amp; Assumptions'!$G$9="")),'2b. Annual Total Budget Summary'!E16+'2b. Annual Total Budget Summary'!G16+'2b. Annual Total Budget Summary'!J16+'2b. Annual Total Budget Summary'!K16,IF(AND('3. Basic Input &amp; Assumptions'!$G$6="Yes",OR('3. Basic Input &amp; Assumptions'!$G$7="No",'3. Basic Input &amp; Assumptions'!$G$7=""),OR('3. Basic Input &amp; Assumptions'!$G$8="No",'3. Basic Input &amp; Assumptions'!$G$8=""),'3. Basic Input &amp; Assumptions'!$G$9="Yes"),'2b. Annual Total Budget Summary'!E16+'2b. Annual Total Budget Summary'!H16+'2b. Annual Total Budget Summary'!J16+'2b. Annual Total Budget Summary'!K16,IF(AND('3. Basic Input &amp; Assumptions'!$G$6="Yes",'3. Basic Input &amp; Assumptions'!$G$7="Yes",OR('3. Basic Input &amp; Assumptions'!$G$8="No",'3. Basic Input &amp; Assumptions'!$G$8=""),'3. Basic Input &amp; Assumptions'!$G$9="Yes"),'2b. Annual Total Budget Summary'!E16+'2b. Annual Total Budget Summary'!F16+'2b. Annual Total Budget Summary'!H16+'2b. Annual Total Budget Summary'!J16+'2b. Annual Total Budget Summary'!K16,IF(AND(OR('3. Basic Input &amp; Assumptions'!$G$6="No",'3. Basic Input &amp; Assumptions'!$G$6=""),'3. Basic Input &amp; Assumptions'!$G$7="Yes",'3. Basic Input &amp; Assumptions'!$G$8="Yes",'3. Basic Input &amp; Assumptions'!$G$9="Yes"),'2b. Annual Total Budget Summary'!F16+'2b. Annual Total Budget Summary'!G16+'2b. Annual Total Budget Summary'!H16+'2b. Annual Total Budget Summary'!J16+'2b. Annual Total Budget Summary'!K16,IF(AND(OR('3. Basic Input &amp; Assumptions'!$G$6="No",'3. Basic Input &amp; Assumptions'!$G$6=""),'3. Basic Input &amp; Assumptions'!$G$7="Yes",'3. Basic Input &amp; Assumptions'!$G$8="Yes",OR('3. Basic Input &amp; Assumptions'!$G$9="No",'3. Basic Input &amp; Assumptions'!$G$9="")),'2b. Annual Total Budget Summary'!F16+'2b. Annual Total Budget Summary'!G16+'2b. Annual Total Budget Summary'!J16+'2b. Annual Total Budget Summary'!K16,IF(AND(OR('3. Basic Input &amp; Assumptions'!$G$6="No",'3. Basic Input &amp; Assumptions'!$G$6=""),'3. Basic Input &amp; Assumptions'!$G$7="Yes",OR('3. Basic Input &amp; Assumptions'!$G$8="No",'3. Basic Input &amp; Assumptions'!$G$8=""),'3. Basic Input &amp; Assumptions'!$G$9="Yes"),'2b. Annual Total Budget Summary'!F16+'2b. Annual Total Budget Summary'!H16+'2b. Annual Total Budget Summary'!J16+'2b. Annual Total Budget Summary'!K16,IF(AND(OR('3. Basic Input &amp; Assumptions'!$G$6="No",'3. Basic Input &amp; Assumptions'!$G$6=""),'3. Basic Input &amp; Assumptions'!$G$7="Yes",OR('3. Basic Input &amp; Assumptions'!$G$8="No",'3. Basic Input &amp; Assumptions'!$G$8=""),OR('3. Basic Input &amp; Assumptions'!$G$9="No",'3. Basic Input &amp; Assumptions'!$G$9="")),'2b. Annual Total Budget Summary'!F16+'2b. Annual Total Budget Summary'!J16+'2b. Annual Total Budget Summary'!K16,IF(AND(OR('3. Basic Input &amp; Assumptions'!$G$6="No",'3. Basic Input &amp; Assumptions'!$G$6=""),OR('3. Basic Input &amp; Assumptions'!$G$7="No",'3. Basic Input &amp; Assumptions'!$G$7=""),'3. Basic Input &amp; Assumptions'!$G$8="Yes",OR('3. Basic Input &amp; Assumptions'!$G$9="No",'3. Basic Input &amp; Assumptions'!$G$9="")),'2b. Annual Total Budget Summary'!G16+'2b. Annual Total Budget Summary'!J16+'2b. Annual Total Budget Summary'!K16,IF(AND(OR('3. Basic Input &amp; Assumptions'!$G$6="No",'3. Basic Input &amp; Assumptions'!$G$6=""),OR('3. Basic Input &amp; Assumptions'!$G$7="No",'3. Basic Input &amp; Assumptions'!$G$7=""),'3. Basic Input &amp; Assumptions'!$G$8="Yes",'3. Basic Input &amp; Assumptions'!$G$9="Yes"),'2b. Annual Total Budget Summary'!G16+'2b. Annual Total Budget Summary'!H16+'2b. Annual Total Budget Summary'!J16+'2b. Annual Total Budget Summary'!K16,IF(AND(OR('3. Basic Input &amp; Assumptions'!$G$6="No",'3. Basic Input &amp; Assumptions'!$G$6=""),OR('3. Basic Input &amp; Assumptions'!$G$7="No",'3. Basic Input &amp; Assumptions'!$G$7=""),OR('3. Basic Input &amp; Assumptions'!$G$8="No",'3. Basic Input &amp; Assumptions'!$G$8=""),'3. Basic Input &amp; Assumptions'!$G$9="Yes"),'2b. Annual Total Budget Summary'!H16+'2b. Annual Total Budget Summary'!J16+'2b. Annual Total Budget Summary'!K16,0)))))))))))))))</f>
        <v>0</v>
      </c>
      <c r="E16" s="211" t="str">
        <f>IF('3. Basic Input &amp; Assumptions'!$G$6="Yes",'4. ACT'!D57,"")</f>
        <v/>
      </c>
      <c r="F16" s="212" t="str">
        <f>IF('3. Basic Input &amp; Assumptions'!$G$7="Yes",'5. ICM'!D69,"")</f>
        <v/>
      </c>
      <c r="G16" s="209" t="str">
        <f>IF('3. Basic Input &amp; Assumptions'!$G$8="Yes",'6. TSS'!D62,"")</f>
        <v/>
      </c>
      <c r="H16" s="212" t="str">
        <f>IF('3. Basic Input &amp; Assumptions'!$G$9="Yes",'7. CTI'!D57,"")</f>
        <v/>
      </c>
      <c r="J16" s="187">
        <f>IF('3. Basic Input &amp; Assumptions'!G12="Yes",SUM(J11:J15),0)</f>
        <v>0</v>
      </c>
      <c r="K16" s="113">
        <f>IF('3. Basic Input &amp; Assumptions'!G13="Yes",SUM('2b. Annual Total Budget Summary'!K11:K15),0)</f>
        <v>52800</v>
      </c>
    </row>
    <row r="17" spans="2:11">
      <c r="B17" s="100"/>
      <c r="C17" s="101"/>
      <c r="E17" s="213"/>
      <c r="F17" s="101"/>
      <c r="G17" s="101"/>
      <c r="H17" s="101"/>
      <c r="J17" s="183"/>
      <c r="K17" s="114"/>
    </row>
    <row r="18" spans="2:11" ht="16.5" thickBot="1">
      <c r="B18" s="120" t="s">
        <v>55</v>
      </c>
      <c r="C18" s="121"/>
      <c r="E18" s="214"/>
      <c r="F18" s="121"/>
      <c r="G18" s="121"/>
      <c r="H18" s="121"/>
      <c r="J18" s="188"/>
      <c r="K18" s="118"/>
    </row>
    <row r="19" spans="2:11" ht="16.5" thickTop="1">
      <c r="B19" s="119" t="s">
        <v>56</v>
      </c>
      <c r="C19" s="99">
        <f>IF(AND('3. Basic Input &amp; Assumptions'!$G$6="Yes",'3. Basic Input &amp; Assumptions'!$G$7="Yes",'3. Basic Input &amp; Assumptions'!$G$8="Yes",'3. Basic Input &amp; Assumptions'!$G$9="Yes"),'2b. Annual Total Budget Summary'!E19+'2b. Annual Total Budget Summary'!F19+'2b. Annual Total Budget Summary'!G19+'2b. Annual Total Budget Summary'!H19+'2b. Annual Total Budget Summary'!J19+'2b. Annual Total Budget Summary'!K19,IF(AND('3. Basic Input &amp; Assumptions'!$G$6="Yes",'3. Basic Input &amp; Assumptions'!$G$7="Yes",'3. Basic Input &amp; Assumptions'!$G$8="Yes",OR('3. Basic Input &amp; Assumptions'!$G$9="No",'3. Basic Input &amp; Assumptions'!$G$9="")),'2b. Annual Total Budget Summary'!E19+'2b. Annual Total Budget Summary'!F19+'2b. Annual Total Budget Summary'!G19+'2b. Annual Total Budget Summary'!J19+'2b. Annual Total Budget Summary'!K19,IF(AND('3. Basic Input &amp; Assumptions'!$G$6="Yes",'3. Basic Input &amp; Assumptions'!$G$7="Yes",OR('3. Basic Input &amp; Assumptions'!$G$8="No",'3. Basic Input &amp; Assumptions'!$G$8=""),OR('3. Basic Input &amp; Assumptions'!$G$9="No",'3. Basic Input &amp; Assumptions'!$G$9="")),'2b. Annual Total Budget Summary'!E19+'2b. Annual Total Budget Summary'!F19+'2b. Annual Total Budget Summary'!J19+'2b. Annual Total Budget Summary'!K19,IF(AND('3. Basic Input &amp; Assumptions'!$G$6="Yes",OR('3. Basic Input &amp; Assumptions'!$G$7="No",'3. Basic Input &amp; Assumptions'!$G$7=""),OR('3. Basic Input &amp; Assumptions'!$G$8="No",'3. Basic Input &amp; Assumptions'!$G$8=""),OR('3. Basic Input &amp; Assumptions'!$G$9="No",'3. Basic Input &amp; Assumptions'!$G$9="")),'2b. Annual Total Budget Summary'!E19+'2b. Annual Total Budget Summary'!J19+'2b. Annual Total Budget Summary'!K19,IF(AND('3. Basic Input &amp; Assumptions'!$G$6="Yes",OR('3. Basic Input &amp; Assumptions'!$G$7="No",'3. Basic Input &amp; Assumptions'!$G$7=""),'3. Basic Input &amp; Assumptions'!$G$8="Yes",'3. Basic Input &amp; Assumptions'!$G$9="Yes"),'2b. Annual Total Budget Summary'!E19+'2b. Annual Total Budget Summary'!G19+'2b. Annual Total Budget Summary'!H19+'2b. Annual Total Budget Summary'!J19+'2b. Annual Total Budget Summary'!K19,IF(AND('3. Basic Input &amp; Assumptions'!$G$6="Yes",OR('3. Basic Input &amp; Assumptions'!$G$7="No",'3. Basic Input &amp; Assumptions'!$G$7=""),'3. Basic Input &amp; Assumptions'!$G$8="Yes",OR('3. Basic Input &amp; Assumptions'!$G$9="No",'3. Basic Input &amp; Assumptions'!$G$9="")),'2b. Annual Total Budget Summary'!E19+'2b. Annual Total Budget Summary'!G19+'2b. Annual Total Budget Summary'!J19+'2b. Annual Total Budget Summary'!K19,IF(AND('3. Basic Input &amp; Assumptions'!$G$6="Yes",OR('3. Basic Input &amp; Assumptions'!$G$7="No",'3. Basic Input &amp; Assumptions'!$G$7=""),OR('3. Basic Input &amp; Assumptions'!$G$8="No",'3. Basic Input &amp; Assumptions'!$G$8=""),'3. Basic Input &amp; Assumptions'!$G$9="Yes"),'2b. Annual Total Budget Summary'!E19+'2b. Annual Total Budget Summary'!H19+'2b. Annual Total Budget Summary'!J19+'2b. Annual Total Budget Summary'!K19,IF(AND('3. Basic Input &amp; Assumptions'!$G$6="Yes",'3. Basic Input &amp; Assumptions'!$G$7="Yes",OR('3. Basic Input &amp; Assumptions'!$G$8="No",'3. Basic Input &amp; Assumptions'!$G$8=""),'3. Basic Input &amp; Assumptions'!$G$9="Yes"),'2b. Annual Total Budget Summary'!E19+'2b. Annual Total Budget Summary'!F19+'2b. Annual Total Budget Summary'!H19+'2b. Annual Total Budget Summary'!J19+'2b. Annual Total Budget Summary'!K19,IF(AND(OR('3. Basic Input &amp; Assumptions'!$G$6="No",'3. Basic Input &amp; Assumptions'!$G$6=""),'3. Basic Input &amp; Assumptions'!$G$7="Yes",'3. Basic Input &amp; Assumptions'!$G$8="Yes",'3. Basic Input &amp; Assumptions'!$G$9="Yes"),'2b. Annual Total Budget Summary'!F19+'2b. Annual Total Budget Summary'!G19+'2b. Annual Total Budget Summary'!H19+'2b. Annual Total Budget Summary'!J19+'2b. Annual Total Budget Summary'!K19,IF(AND(OR('3. Basic Input &amp; Assumptions'!$G$6="No",'3. Basic Input &amp; Assumptions'!$G$6=""),'3. Basic Input &amp; Assumptions'!$G$7="Yes",'3. Basic Input &amp; Assumptions'!$G$8="Yes",OR('3. Basic Input &amp; Assumptions'!$G$9="No",'3. Basic Input &amp; Assumptions'!$G$9="")),'2b. Annual Total Budget Summary'!F19+'2b. Annual Total Budget Summary'!G19+'2b. Annual Total Budget Summary'!J19+'2b. Annual Total Budget Summary'!K19,IF(AND(OR('3. Basic Input &amp; Assumptions'!$G$6="No",'3. Basic Input &amp; Assumptions'!$G$6=""),'3. Basic Input &amp; Assumptions'!$G$7="Yes",OR('3. Basic Input &amp; Assumptions'!$G$8="No",'3. Basic Input &amp; Assumptions'!$G$8=""),'3. Basic Input &amp; Assumptions'!$G$9="Yes"),'2b. Annual Total Budget Summary'!F19+'2b. Annual Total Budget Summary'!H19+'2b. Annual Total Budget Summary'!J19+'2b. Annual Total Budget Summary'!K19,IF(AND(OR('3. Basic Input &amp; Assumptions'!$G$6="No",'3. Basic Input &amp; Assumptions'!$G$6=""),'3. Basic Input &amp; Assumptions'!$G$7="Yes",OR('3. Basic Input &amp; Assumptions'!$G$8="No",'3. Basic Input &amp; Assumptions'!$G$8=""),OR('3. Basic Input &amp; Assumptions'!$G$9="No",'3. Basic Input &amp; Assumptions'!$G$9="")),'2b. Annual Total Budget Summary'!F19+'2b. Annual Total Budget Summary'!J19+'2b. Annual Total Budget Summary'!K19,IF(AND(OR('3. Basic Input &amp; Assumptions'!$G$6="No",'3. Basic Input &amp; Assumptions'!$G$6=""),OR('3. Basic Input &amp; Assumptions'!$G$7="No",'3. Basic Input &amp; Assumptions'!$G$7=""),'3. Basic Input &amp; Assumptions'!$G$8="Yes",OR('3. Basic Input &amp; Assumptions'!$G$9="No",'3. Basic Input &amp; Assumptions'!$G$9="")),'2b. Annual Total Budget Summary'!G19+'2b. Annual Total Budget Summary'!J19+'2b. Annual Total Budget Summary'!K19,IF(AND(OR('3. Basic Input &amp; Assumptions'!$G$6="No",'3. Basic Input &amp; Assumptions'!$G$6=""),OR('3. Basic Input &amp; Assumptions'!$G$7="No",'3. Basic Input &amp; Assumptions'!$G$7=""),'3. Basic Input &amp; Assumptions'!$G$8="Yes",'3. Basic Input &amp; Assumptions'!$G$9="Yes"),'2b. Annual Total Budget Summary'!G19+'2b. Annual Total Budget Summary'!H19+'2b. Annual Total Budget Summary'!J19+'2b. Annual Total Budget Summary'!K19,IF(AND(OR('3. Basic Input &amp; Assumptions'!$G$6="No",'3. Basic Input &amp; Assumptions'!$G$6=""),OR('3. Basic Input &amp; Assumptions'!$G$7="No",'3. Basic Input &amp; Assumptions'!$G$7=""),OR('3. Basic Input &amp; Assumptions'!$G$8="No",'3. Basic Input &amp; Assumptions'!$G$8=""),'3. Basic Input &amp; Assumptions'!$G$9="Yes"),'2b. Annual Total Budget Summary'!H19+'2b. Annual Total Budget Summary'!J19+'2b. Annual Total Budget Summary'!K19,0)))))))))))))))</f>
        <v>0</v>
      </c>
      <c r="E19" s="211" t="str">
        <f>IF('3. Basic Input &amp; Assumptions'!$G$6="Yes",'4. ACT'!D60,"")</f>
        <v/>
      </c>
      <c r="F19" s="95" t="str">
        <f>IF('3. Basic Input &amp; Assumptions'!$G$7="Yes",'5. ICM'!D72,"")</f>
        <v/>
      </c>
      <c r="G19" s="99" t="str">
        <f>IF('3. Basic Input &amp; Assumptions'!$G$8="Yes",'6. TSS'!D65,"")</f>
        <v/>
      </c>
      <c r="H19" s="99" t="str">
        <f>IF('3. Basic Input &amp; Assumptions'!$G$9="Yes",'7. CTI'!D60,"")</f>
        <v/>
      </c>
      <c r="J19" s="189">
        <f>IF('3. Basic Input &amp; Assumptions'!G12="Yes",'8. General Startup Costs'!$F$24,0)</f>
        <v>0</v>
      </c>
      <c r="K19" s="190"/>
    </row>
    <row r="20" spans="2:11">
      <c r="B20" s="94" t="s">
        <v>57</v>
      </c>
      <c r="C20" s="95">
        <f>IF(AND('3. Basic Input &amp; Assumptions'!$G$6="Yes",'3. Basic Input &amp; Assumptions'!$G$7="Yes",'3. Basic Input &amp; Assumptions'!$G$8="Yes",'3. Basic Input &amp; Assumptions'!$G$9="Yes"),'2b. Annual Total Budget Summary'!E20+'2b. Annual Total Budget Summary'!F20+'2b. Annual Total Budget Summary'!G20+'2b. Annual Total Budget Summary'!H20+'2b. Annual Total Budget Summary'!J20+'2b. Annual Total Budget Summary'!K20,IF(AND('3. Basic Input &amp; Assumptions'!$G$6="Yes",'3. Basic Input &amp; Assumptions'!$G$7="Yes",'3. Basic Input &amp; Assumptions'!$G$8="Yes",OR('3. Basic Input &amp; Assumptions'!$G$9="No",'3. Basic Input &amp; Assumptions'!$G$9="")),'2b. Annual Total Budget Summary'!E20+'2b. Annual Total Budget Summary'!F20+'2b. Annual Total Budget Summary'!G20+'2b. Annual Total Budget Summary'!J20+'2b. Annual Total Budget Summary'!K20,IF(AND('3. Basic Input &amp; Assumptions'!$G$6="Yes",'3. Basic Input &amp; Assumptions'!$G$7="Yes",OR('3. Basic Input &amp; Assumptions'!$G$8="No",'3. Basic Input &amp; Assumptions'!$G$8=""),OR('3. Basic Input &amp; Assumptions'!$G$9="No",'3. Basic Input &amp; Assumptions'!$G$9="")),'2b. Annual Total Budget Summary'!E20+'2b. Annual Total Budget Summary'!F20+'2b. Annual Total Budget Summary'!J20+'2b. Annual Total Budget Summary'!K20,IF(AND('3. Basic Input &amp; Assumptions'!$G$6="Yes",OR('3. Basic Input &amp; Assumptions'!$G$7="No",'3. Basic Input &amp; Assumptions'!$G$7=""),OR('3. Basic Input &amp; Assumptions'!$G$8="No",'3. Basic Input &amp; Assumptions'!$G$8=""),OR('3. Basic Input &amp; Assumptions'!$G$9="No",'3. Basic Input &amp; Assumptions'!$G$9="")),'2b. Annual Total Budget Summary'!E20+'2b. Annual Total Budget Summary'!J20+'2b. Annual Total Budget Summary'!K20,IF(AND('3. Basic Input &amp; Assumptions'!$G$6="Yes",OR('3. Basic Input &amp; Assumptions'!$G$7="No",'3. Basic Input &amp; Assumptions'!$G$7=""),'3. Basic Input &amp; Assumptions'!$G$8="Yes",'3. Basic Input &amp; Assumptions'!$G$9="Yes"),'2b. Annual Total Budget Summary'!E20+'2b. Annual Total Budget Summary'!G20+'2b. Annual Total Budget Summary'!H20+'2b. Annual Total Budget Summary'!J20+'2b. Annual Total Budget Summary'!K20,IF(AND('3. Basic Input &amp; Assumptions'!$G$6="Yes",OR('3. Basic Input &amp; Assumptions'!$G$7="No",'3. Basic Input &amp; Assumptions'!$G$7=""),'3. Basic Input &amp; Assumptions'!$G$8="Yes",OR('3. Basic Input &amp; Assumptions'!$G$9="No",'3. Basic Input &amp; Assumptions'!$G$9="")),'2b. Annual Total Budget Summary'!E20+'2b. Annual Total Budget Summary'!G20+'2b. Annual Total Budget Summary'!J20+'2b. Annual Total Budget Summary'!K20,IF(AND('3. Basic Input &amp; Assumptions'!$G$6="Yes",OR('3. Basic Input &amp; Assumptions'!$G$7="No",'3. Basic Input &amp; Assumptions'!$G$7=""),OR('3. Basic Input &amp; Assumptions'!$G$8="No",'3. Basic Input &amp; Assumptions'!$G$8=""),'3. Basic Input &amp; Assumptions'!$G$9="Yes"),'2b. Annual Total Budget Summary'!E20+'2b. Annual Total Budget Summary'!H20+'2b. Annual Total Budget Summary'!J20+'2b. Annual Total Budget Summary'!K20,IF(AND('3. Basic Input &amp; Assumptions'!$G$6="Yes",'3. Basic Input &amp; Assumptions'!$G$7="Yes",OR('3. Basic Input &amp; Assumptions'!$G$8="No",'3. Basic Input &amp; Assumptions'!$G$8=""),'3. Basic Input &amp; Assumptions'!$G$9="Yes"),'2b. Annual Total Budget Summary'!E20+'2b. Annual Total Budget Summary'!F20+'2b. Annual Total Budget Summary'!H20+'2b. Annual Total Budget Summary'!J20+'2b. Annual Total Budget Summary'!K20,IF(AND(OR('3. Basic Input &amp; Assumptions'!$G$6="No",'3. Basic Input &amp; Assumptions'!$G$6=""),'3. Basic Input &amp; Assumptions'!$G$7="Yes",'3. Basic Input &amp; Assumptions'!$G$8="Yes",'3. Basic Input &amp; Assumptions'!$G$9="Yes"),'2b. Annual Total Budget Summary'!F20+'2b. Annual Total Budget Summary'!G20+'2b. Annual Total Budget Summary'!H20+'2b. Annual Total Budget Summary'!J20+'2b. Annual Total Budget Summary'!K20,IF(AND(OR('3. Basic Input &amp; Assumptions'!$G$6="No",'3. Basic Input &amp; Assumptions'!$G$6=""),'3. Basic Input &amp; Assumptions'!$G$7="Yes",'3. Basic Input &amp; Assumptions'!$G$8="Yes",OR('3. Basic Input &amp; Assumptions'!$G$9="No",'3. Basic Input &amp; Assumptions'!$G$9="")),'2b. Annual Total Budget Summary'!F20+'2b. Annual Total Budget Summary'!G20+'2b. Annual Total Budget Summary'!J20+'2b. Annual Total Budget Summary'!K20,IF(AND(OR('3. Basic Input &amp; Assumptions'!$G$6="No",'3. Basic Input &amp; Assumptions'!$G$6=""),'3. Basic Input &amp; Assumptions'!$G$7="Yes",OR('3. Basic Input &amp; Assumptions'!$G$8="No",'3. Basic Input &amp; Assumptions'!$G$8=""),'3. Basic Input &amp; Assumptions'!$G$9="Yes"),'2b. Annual Total Budget Summary'!F20+'2b. Annual Total Budget Summary'!H20+'2b. Annual Total Budget Summary'!J20+'2b. Annual Total Budget Summary'!K20,IF(AND(OR('3. Basic Input &amp; Assumptions'!$G$6="No",'3. Basic Input &amp; Assumptions'!$G$6=""),'3. Basic Input &amp; Assumptions'!$G$7="Yes",OR('3. Basic Input &amp; Assumptions'!$G$8="No",'3. Basic Input &amp; Assumptions'!$G$8=""),OR('3. Basic Input &amp; Assumptions'!$G$9="No",'3. Basic Input &amp; Assumptions'!$G$9="")),'2b. Annual Total Budget Summary'!F20+'2b. Annual Total Budget Summary'!J20+'2b. Annual Total Budget Summary'!K20,IF(AND(OR('3. Basic Input &amp; Assumptions'!$G$6="No",'3. Basic Input &amp; Assumptions'!$G$6=""),OR('3. Basic Input &amp; Assumptions'!$G$7="No",'3. Basic Input &amp; Assumptions'!$G$7=""),'3. Basic Input &amp; Assumptions'!$G$8="Yes",OR('3. Basic Input &amp; Assumptions'!$G$9="No",'3. Basic Input &amp; Assumptions'!$G$9="")),'2b. Annual Total Budget Summary'!G20+'2b. Annual Total Budget Summary'!J20+'2b. Annual Total Budget Summary'!K20,IF(AND(OR('3. Basic Input &amp; Assumptions'!$G$6="No",'3. Basic Input &amp; Assumptions'!$G$6=""),OR('3. Basic Input &amp; Assumptions'!$G$7="No",'3. Basic Input &amp; Assumptions'!$G$7=""),'3. Basic Input &amp; Assumptions'!$G$8="Yes",'3. Basic Input &amp; Assumptions'!$G$9="Yes"),'2b. Annual Total Budget Summary'!G20+'2b. Annual Total Budget Summary'!H20+'2b. Annual Total Budget Summary'!J20+'2b. Annual Total Budget Summary'!K20,IF(AND(OR('3. Basic Input &amp; Assumptions'!$G$6="No",'3. Basic Input &amp; Assumptions'!$G$6=""),OR('3. Basic Input &amp; Assumptions'!$G$7="No",'3. Basic Input &amp; Assumptions'!$G$7=""),OR('3. Basic Input &amp; Assumptions'!$G$8="No",'3. Basic Input &amp; Assumptions'!$G$8=""),'3. Basic Input &amp; Assumptions'!$G$9="Yes"),'2b. Annual Total Budget Summary'!H20+'2b. Annual Total Budget Summary'!J20+'2b. Annual Total Budget Summary'!K20,0)))))))))))))))</f>
        <v>0</v>
      </c>
      <c r="E20" s="215" t="str">
        <f>IF('3. Basic Input &amp; Assumptions'!$G$6="Yes",'4. ACT'!D61,"")</f>
        <v/>
      </c>
      <c r="F20" s="95" t="str">
        <f>IF('3. Basic Input &amp; Assumptions'!$G$7="Yes",'5. ICM'!D73,"")</f>
        <v/>
      </c>
      <c r="G20" s="99" t="str">
        <f>IF('3. Basic Input &amp; Assumptions'!$G$8="Yes",'6. TSS'!D66,"")</f>
        <v/>
      </c>
      <c r="H20" s="99" t="str">
        <f>IF('3. Basic Input &amp; Assumptions'!$G$9="Yes",'7. CTI'!D61,"")</f>
        <v/>
      </c>
      <c r="J20" s="184">
        <f>IF('3. Basic Input &amp; Assumptions'!G12="Yes",'8. General Startup Costs'!$F$25,0)</f>
        <v>0</v>
      </c>
      <c r="K20" s="114"/>
    </row>
    <row r="21" spans="2:11">
      <c r="B21" s="94" t="s">
        <v>58</v>
      </c>
      <c r="C21" s="95">
        <f>IF(AND('3. Basic Input &amp; Assumptions'!$G$6="Yes",'3. Basic Input &amp; Assumptions'!$G$7="Yes",'3. Basic Input &amp; Assumptions'!$G$8="Yes",'3. Basic Input &amp; Assumptions'!$G$9="Yes"),'2b. Annual Total Budget Summary'!E21+'2b. Annual Total Budget Summary'!F21+'2b. Annual Total Budget Summary'!G21+'2b. Annual Total Budget Summary'!H21+'2b. Annual Total Budget Summary'!J21+'2b. Annual Total Budget Summary'!K21,IF(AND('3. Basic Input &amp; Assumptions'!$G$6="Yes",'3. Basic Input &amp; Assumptions'!$G$7="Yes",'3. Basic Input &amp; Assumptions'!$G$8="Yes",OR('3. Basic Input &amp; Assumptions'!$G$9="No",'3. Basic Input &amp; Assumptions'!$G$9="")),'2b. Annual Total Budget Summary'!E21+'2b. Annual Total Budget Summary'!F21+'2b. Annual Total Budget Summary'!G21+'2b. Annual Total Budget Summary'!J21+'2b. Annual Total Budget Summary'!K21,IF(AND('3. Basic Input &amp; Assumptions'!$G$6="Yes",'3. Basic Input &amp; Assumptions'!$G$7="Yes",OR('3. Basic Input &amp; Assumptions'!$G$8="No",'3. Basic Input &amp; Assumptions'!$G$8=""),OR('3. Basic Input &amp; Assumptions'!$G$9="No",'3. Basic Input &amp; Assumptions'!$G$9="")),'2b. Annual Total Budget Summary'!E21+'2b. Annual Total Budget Summary'!F21+'2b. Annual Total Budget Summary'!J21+'2b. Annual Total Budget Summary'!K21,IF(AND('3. Basic Input &amp; Assumptions'!$G$6="Yes",OR('3. Basic Input &amp; Assumptions'!$G$7="No",'3. Basic Input &amp; Assumptions'!$G$7=""),OR('3. Basic Input &amp; Assumptions'!$G$8="No",'3. Basic Input &amp; Assumptions'!$G$8=""),OR('3. Basic Input &amp; Assumptions'!$G$9="No",'3. Basic Input &amp; Assumptions'!$G$9="")),'2b. Annual Total Budget Summary'!E21+'2b. Annual Total Budget Summary'!J21+'2b. Annual Total Budget Summary'!K21,IF(AND('3. Basic Input &amp; Assumptions'!$G$6="Yes",OR('3. Basic Input &amp; Assumptions'!$G$7="No",'3. Basic Input &amp; Assumptions'!$G$7=""),'3. Basic Input &amp; Assumptions'!$G$8="Yes",'3. Basic Input &amp; Assumptions'!$G$9="Yes"),'2b. Annual Total Budget Summary'!E21+'2b. Annual Total Budget Summary'!G21+'2b. Annual Total Budget Summary'!H21+'2b. Annual Total Budget Summary'!J21+'2b. Annual Total Budget Summary'!K21,IF(AND('3. Basic Input &amp; Assumptions'!$G$6="Yes",OR('3. Basic Input &amp; Assumptions'!$G$7="No",'3. Basic Input &amp; Assumptions'!$G$7=""),'3. Basic Input &amp; Assumptions'!$G$8="Yes",OR('3. Basic Input &amp; Assumptions'!$G$9="No",'3. Basic Input &amp; Assumptions'!$G$9="")),'2b. Annual Total Budget Summary'!E21+'2b. Annual Total Budget Summary'!G21+'2b. Annual Total Budget Summary'!J21+'2b. Annual Total Budget Summary'!K21,IF(AND('3. Basic Input &amp; Assumptions'!$G$6="Yes",OR('3. Basic Input &amp; Assumptions'!$G$7="No",'3. Basic Input &amp; Assumptions'!$G$7=""),OR('3. Basic Input &amp; Assumptions'!$G$8="No",'3. Basic Input &amp; Assumptions'!$G$8=""),'3. Basic Input &amp; Assumptions'!$G$9="Yes"),'2b. Annual Total Budget Summary'!E21+'2b. Annual Total Budget Summary'!H21+'2b. Annual Total Budget Summary'!J21+'2b. Annual Total Budget Summary'!K21,IF(AND('3. Basic Input &amp; Assumptions'!$G$6="Yes",'3. Basic Input &amp; Assumptions'!$G$7="Yes",OR('3. Basic Input &amp; Assumptions'!$G$8="No",'3. Basic Input &amp; Assumptions'!$G$8=""),'3. Basic Input &amp; Assumptions'!$G$9="Yes"),'2b. Annual Total Budget Summary'!E21+'2b. Annual Total Budget Summary'!F21+'2b. Annual Total Budget Summary'!H21+'2b. Annual Total Budget Summary'!J21+'2b. Annual Total Budget Summary'!K21,IF(AND(OR('3. Basic Input &amp; Assumptions'!$G$6="No",'3. Basic Input &amp; Assumptions'!$G$6=""),'3. Basic Input &amp; Assumptions'!$G$7="Yes",'3. Basic Input &amp; Assumptions'!$G$8="Yes",'3. Basic Input &amp; Assumptions'!$G$9="Yes"),'2b. Annual Total Budget Summary'!F21+'2b. Annual Total Budget Summary'!G21+'2b. Annual Total Budget Summary'!H21+'2b. Annual Total Budget Summary'!J21+'2b. Annual Total Budget Summary'!K21,IF(AND(OR('3. Basic Input &amp; Assumptions'!$G$6="No",'3. Basic Input &amp; Assumptions'!$G$6=""),'3. Basic Input &amp; Assumptions'!$G$7="Yes",'3. Basic Input &amp; Assumptions'!$G$8="Yes",OR('3. Basic Input &amp; Assumptions'!$G$9="No",'3. Basic Input &amp; Assumptions'!$G$9="")),'2b. Annual Total Budget Summary'!F21+'2b. Annual Total Budget Summary'!G21+'2b. Annual Total Budget Summary'!J21+'2b. Annual Total Budget Summary'!K21,IF(AND(OR('3. Basic Input &amp; Assumptions'!$G$6="No",'3. Basic Input &amp; Assumptions'!$G$6=""),'3. Basic Input &amp; Assumptions'!$G$7="Yes",OR('3. Basic Input &amp; Assumptions'!$G$8="No",'3. Basic Input &amp; Assumptions'!$G$8=""),'3. Basic Input &amp; Assumptions'!$G$9="Yes"),'2b. Annual Total Budget Summary'!F21+'2b. Annual Total Budget Summary'!H21+'2b. Annual Total Budget Summary'!J21+'2b. Annual Total Budget Summary'!K21,IF(AND(OR('3. Basic Input &amp; Assumptions'!$G$6="No",'3. Basic Input &amp; Assumptions'!$G$6=""),'3. Basic Input &amp; Assumptions'!$G$7="Yes",OR('3. Basic Input &amp; Assumptions'!$G$8="No",'3. Basic Input &amp; Assumptions'!$G$8=""),OR('3. Basic Input &amp; Assumptions'!$G$9="No",'3. Basic Input &amp; Assumptions'!$G$9="")),'2b. Annual Total Budget Summary'!F21+'2b. Annual Total Budget Summary'!J21+'2b. Annual Total Budget Summary'!K21,IF(AND(OR('3. Basic Input &amp; Assumptions'!$G$6="No",'3. Basic Input &amp; Assumptions'!$G$6=""),OR('3. Basic Input &amp; Assumptions'!$G$7="No",'3. Basic Input &amp; Assumptions'!$G$7=""),'3. Basic Input &amp; Assumptions'!$G$8="Yes",OR('3. Basic Input &amp; Assumptions'!$G$9="No",'3. Basic Input &amp; Assumptions'!$G$9="")),'2b. Annual Total Budget Summary'!G21+'2b. Annual Total Budget Summary'!J21+'2b. Annual Total Budget Summary'!K21,IF(AND(OR('3. Basic Input &amp; Assumptions'!$G$6="No",'3. Basic Input &amp; Assumptions'!$G$6=""),OR('3. Basic Input &amp; Assumptions'!$G$7="No",'3. Basic Input &amp; Assumptions'!$G$7=""),'3. Basic Input &amp; Assumptions'!$G$8="Yes",'3. Basic Input &amp; Assumptions'!$G$9="Yes"),'2b. Annual Total Budget Summary'!G21+'2b. Annual Total Budget Summary'!H21+'2b. Annual Total Budget Summary'!J21+'2b. Annual Total Budget Summary'!K21,IF(AND(OR('3. Basic Input &amp; Assumptions'!$G$6="No",'3. Basic Input &amp; Assumptions'!$G$6=""),OR('3. Basic Input &amp; Assumptions'!$G$7="No",'3. Basic Input &amp; Assumptions'!$G$7=""),OR('3. Basic Input &amp; Assumptions'!$G$8="No",'3. Basic Input &amp; Assumptions'!$G$8=""),'3. Basic Input &amp; Assumptions'!$G$9="Yes"),'2b. Annual Total Budget Summary'!H21+'2b. Annual Total Budget Summary'!J21+'2b. Annual Total Budget Summary'!K21,0)))))))))))))))</f>
        <v>0</v>
      </c>
      <c r="E21" s="215" t="str">
        <f>IF('3. Basic Input &amp; Assumptions'!$G$6="Yes",'4. ACT'!D62,"")</f>
        <v/>
      </c>
      <c r="F21" s="95" t="str">
        <f>IF('3. Basic Input &amp; Assumptions'!$G$7="Yes",'5. ICM'!D74,"")</f>
        <v/>
      </c>
      <c r="G21" s="99" t="str">
        <f>IF('3. Basic Input &amp; Assumptions'!$G$8="Yes",'6. TSS'!D67,"")</f>
        <v/>
      </c>
      <c r="H21" s="99" t="str">
        <f>IF('3. Basic Input &amp; Assumptions'!$G$9="Yes",'7. CTI'!D62,"")</f>
        <v/>
      </c>
      <c r="J21" s="184">
        <f>IF('3. Basic Input &amp; Assumptions'!G12="Yes",'8. General Startup Costs'!$F$26,0)</f>
        <v>0</v>
      </c>
      <c r="K21" s="114"/>
    </row>
    <row r="22" spans="2:11">
      <c r="B22" s="94" t="s">
        <v>59</v>
      </c>
      <c r="C22" s="95">
        <f>IF(AND('3. Basic Input &amp; Assumptions'!$G$6="Yes",'3. Basic Input &amp; Assumptions'!$G$7="Yes",'3. Basic Input &amp; Assumptions'!$G$8="Yes",'3. Basic Input &amp; Assumptions'!$G$9="Yes"),'2b. Annual Total Budget Summary'!E22+'2b. Annual Total Budget Summary'!F22+'2b. Annual Total Budget Summary'!G22+'2b. Annual Total Budget Summary'!H22+'2b. Annual Total Budget Summary'!J22+'2b. Annual Total Budget Summary'!K22,IF(AND('3. Basic Input &amp; Assumptions'!$G$6="Yes",'3. Basic Input &amp; Assumptions'!$G$7="Yes",'3. Basic Input &amp; Assumptions'!$G$8="Yes",OR('3. Basic Input &amp; Assumptions'!$G$9="No",'3. Basic Input &amp; Assumptions'!$G$9="")),'2b. Annual Total Budget Summary'!E22+'2b. Annual Total Budget Summary'!F22+'2b. Annual Total Budget Summary'!G22+'2b. Annual Total Budget Summary'!J22+'2b. Annual Total Budget Summary'!K22,IF(AND('3. Basic Input &amp; Assumptions'!$G$6="Yes",'3. Basic Input &amp; Assumptions'!$G$7="Yes",OR('3. Basic Input &amp; Assumptions'!$G$8="No",'3. Basic Input &amp; Assumptions'!$G$8=""),OR('3. Basic Input &amp; Assumptions'!$G$9="No",'3. Basic Input &amp; Assumptions'!$G$9="")),'2b. Annual Total Budget Summary'!E22+'2b. Annual Total Budget Summary'!F22+'2b. Annual Total Budget Summary'!J22+'2b. Annual Total Budget Summary'!K22,IF(AND('3. Basic Input &amp; Assumptions'!$G$6="Yes",OR('3. Basic Input &amp; Assumptions'!$G$7="No",'3. Basic Input &amp; Assumptions'!$G$7=""),OR('3. Basic Input &amp; Assumptions'!$G$8="No",'3. Basic Input &amp; Assumptions'!$G$8=""),OR('3. Basic Input &amp; Assumptions'!$G$9="No",'3. Basic Input &amp; Assumptions'!$G$9="")),'2b. Annual Total Budget Summary'!E22+'2b. Annual Total Budget Summary'!J22+'2b. Annual Total Budget Summary'!K22,IF(AND('3. Basic Input &amp; Assumptions'!$G$6="Yes",OR('3. Basic Input &amp; Assumptions'!$G$7="No",'3. Basic Input &amp; Assumptions'!$G$7=""),'3. Basic Input &amp; Assumptions'!$G$8="Yes",'3. Basic Input &amp; Assumptions'!$G$9="Yes"),'2b. Annual Total Budget Summary'!E22+'2b. Annual Total Budget Summary'!G22+'2b. Annual Total Budget Summary'!H22+'2b. Annual Total Budget Summary'!J22+'2b. Annual Total Budget Summary'!K22,IF(AND('3. Basic Input &amp; Assumptions'!$G$6="Yes",OR('3. Basic Input &amp; Assumptions'!$G$7="No",'3. Basic Input &amp; Assumptions'!$G$7=""),'3. Basic Input &amp; Assumptions'!$G$8="Yes",OR('3. Basic Input &amp; Assumptions'!$G$9="No",'3. Basic Input &amp; Assumptions'!$G$9="")),'2b. Annual Total Budget Summary'!E22+'2b. Annual Total Budget Summary'!G22+'2b. Annual Total Budget Summary'!J22+'2b. Annual Total Budget Summary'!K22,IF(AND('3. Basic Input &amp; Assumptions'!$G$6="Yes",OR('3. Basic Input &amp; Assumptions'!$G$7="No",'3. Basic Input &amp; Assumptions'!$G$7=""),OR('3. Basic Input &amp; Assumptions'!$G$8="No",'3. Basic Input &amp; Assumptions'!$G$8=""),'3. Basic Input &amp; Assumptions'!$G$9="Yes"),'2b. Annual Total Budget Summary'!E22+'2b. Annual Total Budget Summary'!H22+'2b. Annual Total Budget Summary'!J22+'2b. Annual Total Budget Summary'!K22,IF(AND('3. Basic Input &amp; Assumptions'!$G$6="Yes",'3. Basic Input &amp; Assumptions'!$G$7="Yes",OR('3. Basic Input &amp; Assumptions'!$G$8="No",'3. Basic Input &amp; Assumptions'!$G$8=""),'3. Basic Input &amp; Assumptions'!$G$9="Yes"),'2b. Annual Total Budget Summary'!E22+'2b. Annual Total Budget Summary'!F22+'2b. Annual Total Budget Summary'!H22+'2b. Annual Total Budget Summary'!J22+'2b. Annual Total Budget Summary'!K22,IF(AND(OR('3. Basic Input &amp; Assumptions'!$G$6="No",'3. Basic Input &amp; Assumptions'!$G$6=""),'3. Basic Input &amp; Assumptions'!$G$7="Yes",'3. Basic Input &amp; Assumptions'!$G$8="Yes",'3. Basic Input &amp; Assumptions'!$G$9="Yes"),'2b. Annual Total Budget Summary'!F22+'2b. Annual Total Budget Summary'!G22+'2b. Annual Total Budget Summary'!H22+'2b. Annual Total Budget Summary'!J22+'2b. Annual Total Budget Summary'!K22,IF(AND(OR('3. Basic Input &amp; Assumptions'!$G$6="No",'3. Basic Input &amp; Assumptions'!$G$6=""),'3. Basic Input &amp; Assumptions'!$G$7="Yes",'3. Basic Input &amp; Assumptions'!$G$8="Yes",OR('3. Basic Input &amp; Assumptions'!$G$9="No",'3. Basic Input &amp; Assumptions'!$G$9="")),'2b. Annual Total Budget Summary'!F22+'2b. Annual Total Budget Summary'!G22+'2b. Annual Total Budget Summary'!J22+'2b. Annual Total Budget Summary'!K22,IF(AND(OR('3. Basic Input &amp; Assumptions'!$G$6="No",'3. Basic Input &amp; Assumptions'!$G$6=""),'3. Basic Input &amp; Assumptions'!$G$7="Yes",OR('3. Basic Input &amp; Assumptions'!$G$8="No",'3. Basic Input &amp; Assumptions'!$G$8=""),'3. Basic Input &amp; Assumptions'!$G$9="Yes"),'2b. Annual Total Budget Summary'!F22+'2b. Annual Total Budget Summary'!H22+'2b. Annual Total Budget Summary'!J22+'2b. Annual Total Budget Summary'!K22,IF(AND(OR('3. Basic Input &amp; Assumptions'!$G$6="No",'3. Basic Input &amp; Assumptions'!$G$6=""),'3. Basic Input &amp; Assumptions'!$G$7="Yes",OR('3. Basic Input &amp; Assumptions'!$G$8="No",'3. Basic Input &amp; Assumptions'!$G$8=""),OR('3. Basic Input &amp; Assumptions'!$G$9="No",'3. Basic Input &amp; Assumptions'!$G$9="")),'2b. Annual Total Budget Summary'!F22+'2b. Annual Total Budget Summary'!J22+'2b. Annual Total Budget Summary'!K22,IF(AND(OR('3. Basic Input &amp; Assumptions'!$G$6="No",'3. Basic Input &amp; Assumptions'!$G$6=""),OR('3. Basic Input &amp; Assumptions'!$G$7="No",'3. Basic Input &amp; Assumptions'!$G$7=""),'3. Basic Input &amp; Assumptions'!$G$8="Yes",OR('3. Basic Input &amp; Assumptions'!$G$9="No",'3. Basic Input &amp; Assumptions'!$G$9="")),'2b. Annual Total Budget Summary'!G22+'2b. Annual Total Budget Summary'!J22+'2b. Annual Total Budget Summary'!K22,IF(AND(OR('3. Basic Input &amp; Assumptions'!$G$6="No",'3. Basic Input &amp; Assumptions'!$G$6=""),OR('3. Basic Input &amp; Assumptions'!$G$7="No",'3. Basic Input &amp; Assumptions'!$G$7=""),'3. Basic Input &amp; Assumptions'!$G$8="Yes",'3. Basic Input &amp; Assumptions'!$G$9="Yes"),'2b. Annual Total Budget Summary'!G22+'2b. Annual Total Budget Summary'!H22+'2b. Annual Total Budget Summary'!J22+'2b. Annual Total Budget Summary'!K22,IF(AND(OR('3. Basic Input &amp; Assumptions'!$G$6="No",'3. Basic Input &amp; Assumptions'!$G$6=""),OR('3. Basic Input &amp; Assumptions'!$G$7="No",'3. Basic Input &amp; Assumptions'!$G$7=""),OR('3. Basic Input &amp; Assumptions'!$G$8="No",'3. Basic Input &amp; Assumptions'!$G$8=""),'3. Basic Input &amp; Assumptions'!$G$9="Yes"),'2b. Annual Total Budget Summary'!H22+'2b. Annual Total Budget Summary'!J22+'2b. Annual Total Budget Summary'!K22,0)))))))))))))))</f>
        <v>0</v>
      </c>
      <c r="E22" s="215" t="str">
        <f>IF('3. Basic Input &amp; Assumptions'!$G$6="Yes",'4. ACT'!D63,"")</f>
        <v/>
      </c>
      <c r="F22" s="95" t="str">
        <f>IF('3. Basic Input &amp; Assumptions'!$G$7="Yes",'5. ICM'!D75,"")</f>
        <v/>
      </c>
      <c r="G22" s="99" t="str">
        <f>IF('3. Basic Input &amp; Assumptions'!$G$8="Yes",'6. TSS'!D68,"")</f>
        <v/>
      </c>
      <c r="H22" s="99" t="str">
        <f>IF('3. Basic Input &amp; Assumptions'!$G$9="Yes",'7. CTI'!D63,"")</f>
        <v/>
      </c>
      <c r="J22" s="183"/>
      <c r="K22" s="114"/>
    </row>
    <row r="23" spans="2:11">
      <c r="B23" s="94" t="s">
        <v>60</v>
      </c>
      <c r="C23" s="95">
        <f>IF(AND('3. Basic Input &amp; Assumptions'!$G$6="Yes",'3. Basic Input &amp; Assumptions'!$G$7="Yes",'3. Basic Input &amp; Assumptions'!$G$8="Yes",'3. Basic Input &amp; Assumptions'!$G$9="Yes"),'2b. Annual Total Budget Summary'!E23+'2b. Annual Total Budget Summary'!F23+'2b. Annual Total Budget Summary'!G23+'2b. Annual Total Budget Summary'!H23+'2b. Annual Total Budget Summary'!J23+'2b. Annual Total Budget Summary'!K23,IF(AND('3. Basic Input &amp; Assumptions'!$G$6="Yes",'3. Basic Input &amp; Assumptions'!$G$7="Yes",'3. Basic Input &amp; Assumptions'!$G$8="Yes",OR('3. Basic Input &amp; Assumptions'!$G$9="No",'3. Basic Input &amp; Assumptions'!$G$9="")),'2b. Annual Total Budget Summary'!E23+'2b. Annual Total Budget Summary'!F23+'2b. Annual Total Budget Summary'!G23+'2b. Annual Total Budget Summary'!J23+'2b. Annual Total Budget Summary'!K23,IF(AND('3. Basic Input &amp; Assumptions'!$G$6="Yes",'3. Basic Input &amp; Assumptions'!$G$7="Yes",OR('3. Basic Input &amp; Assumptions'!$G$8="No",'3. Basic Input &amp; Assumptions'!$G$8=""),OR('3. Basic Input &amp; Assumptions'!$G$9="No",'3. Basic Input &amp; Assumptions'!$G$9="")),'2b. Annual Total Budget Summary'!E23+'2b. Annual Total Budget Summary'!F23+'2b. Annual Total Budget Summary'!J23+'2b. Annual Total Budget Summary'!K23,IF(AND('3. Basic Input &amp; Assumptions'!$G$6="Yes",OR('3. Basic Input &amp; Assumptions'!$G$7="No",'3. Basic Input &amp; Assumptions'!$G$7=""),OR('3. Basic Input &amp; Assumptions'!$G$8="No",'3. Basic Input &amp; Assumptions'!$G$8=""),OR('3. Basic Input &amp; Assumptions'!$G$9="No",'3. Basic Input &amp; Assumptions'!$G$9="")),'2b. Annual Total Budget Summary'!E23+'2b. Annual Total Budget Summary'!J23+'2b. Annual Total Budget Summary'!K23,IF(AND('3. Basic Input &amp; Assumptions'!$G$6="Yes",OR('3. Basic Input &amp; Assumptions'!$G$7="No",'3. Basic Input &amp; Assumptions'!$G$7=""),'3. Basic Input &amp; Assumptions'!$G$8="Yes",'3. Basic Input &amp; Assumptions'!$G$9="Yes"),'2b. Annual Total Budget Summary'!E23+'2b. Annual Total Budget Summary'!G23+'2b. Annual Total Budget Summary'!H23+'2b. Annual Total Budget Summary'!J23+'2b. Annual Total Budget Summary'!K23,IF(AND('3. Basic Input &amp; Assumptions'!$G$6="Yes",OR('3. Basic Input &amp; Assumptions'!$G$7="No",'3. Basic Input &amp; Assumptions'!$G$7=""),'3. Basic Input &amp; Assumptions'!$G$8="Yes",OR('3. Basic Input &amp; Assumptions'!$G$9="No",'3. Basic Input &amp; Assumptions'!$G$9="")),'2b. Annual Total Budget Summary'!E23+'2b. Annual Total Budget Summary'!G23+'2b. Annual Total Budget Summary'!J23+'2b. Annual Total Budget Summary'!K23,IF(AND('3. Basic Input &amp; Assumptions'!$G$6="Yes",OR('3. Basic Input &amp; Assumptions'!$G$7="No",'3. Basic Input &amp; Assumptions'!$G$7=""),OR('3. Basic Input &amp; Assumptions'!$G$8="No",'3. Basic Input &amp; Assumptions'!$G$8=""),'3. Basic Input &amp; Assumptions'!$G$9="Yes"),'2b. Annual Total Budget Summary'!E23+'2b. Annual Total Budget Summary'!H23+'2b. Annual Total Budget Summary'!J23+'2b. Annual Total Budget Summary'!K23,IF(AND('3. Basic Input &amp; Assumptions'!$G$6="Yes",'3. Basic Input &amp; Assumptions'!$G$7="Yes",OR('3. Basic Input &amp; Assumptions'!$G$8="No",'3. Basic Input &amp; Assumptions'!$G$8=""),'3. Basic Input &amp; Assumptions'!$G$9="Yes"),'2b. Annual Total Budget Summary'!E23+'2b. Annual Total Budget Summary'!F23+'2b. Annual Total Budget Summary'!H23+'2b. Annual Total Budget Summary'!J23+'2b. Annual Total Budget Summary'!K23,IF(AND(OR('3. Basic Input &amp; Assumptions'!$G$6="No",'3. Basic Input &amp; Assumptions'!$G$6=""),'3. Basic Input &amp; Assumptions'!$G$7="Yes",'3. Basic Input &amp; Assumptions'!$G$8="Yes",'3. Basic Input &amp; Assumptions'!$G$9="Yes"),'2b. Annual Total Budget Summary'!F23+'2b. Annual Total Budget Summary'!G23+'2b. Annual Total Budget Summary'!H23+'2b. Annual Total Budget Summary'!J23+'2b. Annual Total Budget Summary'!K23,IF(AND(OR('3. Basic Input &amp; Assumptions'!$G$6="No",'3. Basic Input &amp; Assumptions'!$G$6=""),'3. Basic Input &amp; Assumptions'!$G$7="Yes",'3. Basic Input &amp; Assumptions'!$G$8="Yes",OR('3. Basic Input &amp; Assumptions'!$G$9="No",'3. Basic Input &amp; Assumptions'!$G$9="")),'2b. Annual Total Budget Summary'!F23+'2b. Annual Total Budget Summary'!G23+'2b. Annual Total Budget Summary'!J23+'2b. Annual Total Budget Summary'!K23,IF(AND(OR('3. Basic Input &amp; Assumptions'!$G$6="No",'3. Basic Input &amp; Assumptions'!$G$6=""),'3. Basic Input &amp; Assumptions'!$G$7="Yes",OR('3. Basic Input &amp; Assumptions'!$G$8="No",'3. Basic Input &amp; Assumptions'!$G$8=""),'3. Basic Input &amp; Assumptions'!$G$9="Yes"),'2b. Annual Total Budget Summary'!F23+'2b. Annual Total Budget Summary'!H23+'2b. Annual Total Budget Summary'!J23+'2b. Annual Total Budget Summary'!K23,IF(AND(OR('3. Basic Input &amp; Assumptions'!$G$6="No",'3. Basic Input &amp; Assumptions'!$G$6=""),'3. Basic Input &amp; Assumptions'!$G$7="Yes",OR('3. Basic Input &amp; Assumptions'!$G$8="No",'3. Basic Input &amp; Assumptions'!$G$8=""),OR('3. Basic Input &amp; Assumptions'!$G$9="No",'3. Basic Input &amp; Assumptions'!$G$9="")),'2b. Annual Total Budget Summary'!F23+'2b. Annual Total Budget Summary'!J23+'2b. Annual Total Budget Summary'!K23,IF(AND(OR('3. Basic Input &amp; Assumptions'!$G$6="No",'3. Basic Input &amp; Assumptions'!$G$6=""),OR('3. Basic Input &amp; Assumptions'!$G$7="No",'3. Basic Input &amp; Assumptions'!$G$7=""),'3. Basic Input &amp; Assumptions'!$G$8="Yes",OR('3. Basic Input &amp; Assumptions'!$G$9="No",'3. Basic Input &amp; Assumptions'!$G$9="")),'2b. Annual Total Budget Summary'!G23+'2b. Annual Total Budget Summary'!J23+'2b. Annual Total Budget Summary'!K23,IF(AND(OR('3. Basic Input &amp; Assumptions'!$G$6="No",'3. Basic Input &amp; Assumptions'!$G$6=""),OR('3. Basic Input &amp; Assumptions'!$G$7="No",'3. Basic Input &amp; Assumptions'!$G$7=""),'3. Basic Input &amp; Assumptions'!$G$8="Yes",'3. Basic Input &amp; Assumptions'!$G$9="Yes"),'2b. Annual Total Budget Summary'!G23+'2b. Annual Total Budget Summary'!H23+'2b. Annual Total Budget Summary'!J23+'2b. Annual Total Budget Summary'!K23,IF(AND(OR('3. Basic Input &amp; Assumptions'!$G$6="No",'3. Basic Input &amp; Assumptions'!$G$6=""),OR('3. Basic Input &amp; Assumptions'!$G$7="No",'3. Basic Input &amp; Assumptions'!$G$7=""),OR('3. Basic Input &amp; Assumptions'!$G$8="No",'3. Basic Input &amp; Assumptions'!$G$8=""),'3. Basic Input &amp; Assumptions'!$G$9="Yes"),'2b. Annual Total Budget Summary'!H23+'2b. Annual Total Budget Summary'!J23+'2b. Annual Total Budget Summary'!K23,0)))))))))))))))</f>
        <v>0</v>
      </c>
      <c r="E23" s="215" t="str">
        <f>IF('3. Basic Input &amp; Assumptions'!$G$6="Yes",'4. ACT'!D64,"")</f>
        <v/>
      </c>
      <c r="F23" s="95" t="str">
        <f>IF('3. Basic Input &amp; Assumptions'!$G$7="Yes",'5. ICM'!D76,"")</f>
        <v/>
      </c>
      <c r="G23" s="99" t="str">
        <f>IF('3. Basic Input &amp; Assumptions'!$G$8="Yes",'6. TSS'!D69,"")</f>
        <v/>
      </c>
      <c r="H23" s="99" t="str">
        <f>IF('3. Basic Input &amp; Assumptions'!$G$9="Yes",'7. CTI'!D64,"")</f>
        <v/>
      </c>
      <c r="J23" s="184">
        <f>IF('3. Basic Input &amp; Assumptions'!G12="Yes",'8. General Startup Costs'!$F$27,0)</f>
        <v>0</v>
      </c>
      <c r="K23" s="114"/>
    </row>
    <row r="24" spans="2:11">
      <c r="B24" s="94" t="s">
        <v>61</v>
      </c>
      <c r="C24" s="95">
        <f>IF(AND('3. Basic Input &amp; Assumptions'!$G$6="Yes",'3. Basic Input &amp; Assumptions'!$G$7="Yes",'3. Basic Input &amp; Assumptions'!$G$8="Yes",'3. Basic Input &amp; Assumptions'!$G$9="Yes"),'2b. Annual Total Budget Summary'!E24+'2b. Annual Total Budget Summary'!F24+'2b. Annual Total Budget Summary'!G24+'2b. Annual Total Budget Summary'!H24+'2b. Annual Total Budget Summary'!J24+'2b. Annual Total Budget Summary'!K24,IF(AND('3. Basic Input &amp; Assumptions'!$G$6="Yes",'3. Basic Input &amp; Assumptions'!$G$7="Yes",'3. Basic Input &amp; Assumptions'!$G$8="Yes",OR('3. Basic Input &amp; Assumptions'!$G$9="No",'3. Basic Input &amp; Assumptions'!$G$9="")),'2b. Annual Total Budget Summary'!E24+'2b. Annual Total Budget Summary'!F24+'2b. Annual Total Budget Summary'!G24+'2b. Annual Total Budget Summary'!J24+'2b. Annual Total Budget Summary'!K24,IF(AND('3. Basic Input &amp; Assumptions'!$G$6="Yes",'3. Basic Input &amp; Assumptions'!$G$7="Yes",OR('3. Basic Input &amp; Assumptions'!$G$8="No",'3. Basic Input &amp; Assumptions'!$G$8=""),OR('3. Basic Input &amp; Assumptions'!$G$9="No",'3. Basic Input &amp; Assumptions'!$G$9="")),'2b. Annual Total Budget Summary'!E24+'2b. Annual Total Budget Summary'!F24+'2b. Annual Total Budget Summary'!J24+'2b. Annual Total Budget Summary'!K24,IF(AND('3. Basic Input &amp; Assumptions'!$G$6="Yes",OR('3. Basic Input &amp; Assumptions'!$G$7="No",'3. Basic Input &amp; Assumptions'!$G$7=""),OR('3. Basic Input &amp; Assumptions'!$G$8="No",'3. Basic Input &amp; Assumptions'!$G$8=""),OR('3. Basic Input &amp; Assumptions'!$G$9="No",'3. Basic Input &amp; Assumptions'!$G$9="")),'2b. Annual Total Budget Summary'!E24+'2b. Annual Total Budget Summary'!J24+'2b. Annual Total Budget Summary'!K24,IF(AND('3. Basic Input &amp; Assumptions'!$G$6="Yes",OR('3. Basic Input &amp; Assumptions'!$G$7="No",'3. Basic Input &amp; Assumptions'!$G$7=""),'3. Basic Input &amp; Assumptions'!$G$8="Yes",'3. Basic Input &amp; Assumptions'!$G$9="Yes"),'2b. Annual Total Budget Summary'!E24+'2b. Annual Total Budget Summary'!G24+'2b. Annual Total Budget Summary'!H24+'2b. Annual Total Budget Summary'!J24+'2b. Annual Total Budget Summary'!K24,IF(AND('3. Basic Input &amp; Assumptions'!$G$6="Yes",OR('3. Basic Input &amp; Assumptions'!$G$7="No",'3. Basic Input &amp; Assumptions'!$G$7=""),'3. Basic Input &amp; Assumptions'!$G$8="Yes",OR('3. Basic Input &amp; Assumptions'!$G$9="No",'3. Basic Input &amp; Assumptions'!$G$9="")),'2b. Annual Total Budget Summary'!E24+'2b. Annual Total Budget Summary'!G24+'2b. Annual Total Budget Summary'!J24+'2b. Annual Total Budget Summary'!K24,IF(AND('3. Basic Input &amp; Assumptions'!$G$6="Yes",OR('3. Basic Input &amp; Assumptions'!$G$7="No",'3. Basic Input &amp; Assumptions'!$G$7=""),OR('3. Basic Input &amp; Assumptions'!$G$8="No",'3. Basic Input &amp; Assumptions'!$G$8=""),'3. Basic Input &amp; Assumptions'!$G$9="Yes"),'2b. Annual Total Budget Summary'!E24+'2b. Annual Total Budget Summary'!H24+'2b. Annual Total Budget Summary'!J24+'2b. Annual Total Budget Summary'!K24,IF(AND('3. Basic Input &amp; Assumptions'!$G$6="Yes",'3. Basic Input &amp; Assumptions'!$G$7="Yes",OR('3. Basic Input &amp; Assumptions'!$G$8="No",'3. Basic Input &amp; Assumptions'!$G$8=""),'3. Basic Input &amp; Assumptions'!$G$9="Yes"),'2b. Annual Total Budget Summary'!E24+'2b. Annual Total Budget Summary'!F24+'2b. Annual Total Budget Summary'!H24+'2b. Annual Total Budget Summary'!J24+'2b. Annual Total Budget Summary'!K24,IF(AND(OR('3. Basic Input &amp; Assumptions'!$G$6="No",'3. Basic Input &amp; Assumptions'!$G$6=""),'3. Basic Input &amp; Assumptions'!$G$7="Yes",'3. Basic Input &amp; Assumptions'!$G$8="Yes",'3. Basic Input &amp; Assumptions'!$G$9="Yes"),'2b. Annual Total Budget Summary'!F24+'2b. Annual Total Budget Summary'!G24+'2b. Annual Total Budget Summary'!H24+'2b. Annual Total Budget Summary'!J24+'2b. Annual Total Budget Summary'!K24,IF(AND(OR('3. Basic Input &amp; Assumptions'!$G$6="No",'3. Basic Input &amp; Assumptions'!$G$6=""),'3. Basic Input &amp; Assumptions'!$G$7="Yes",'3. Basic Input &amp; Assumptions'!$G$8="Yes",OR('3. Basic Input &amp; Assumptions'!$G$9="No",'3. Basic Input &amp; Assumptions'!$G$9="")),'2b. Annual Total Budget Summary'!F24+'2b. Annual Total Budget Summary'!G24+'2b. Annual Total Budget Summary'!J24+'2b. Annual Total Budget Summary'!K24,IF(AND(OR('3. Basic Input &amp; Assumptions'!$G$6="No",'3. Basic Input &amp; Assumptions'!$G$6=""),'3. Basic Input &amp; Assumptions'!$G$7="Yes",OR('3. Basic Input &amp; Assumptions'!$G$8="No",'3. Basic Input &amp; Assumptions'!$G$8=""),'3. Basic Input &amp; Assumptions'!$G$9="Yes"),'2b. Annual Total Budget Summary'!F24+'2b. Annual Total Budget Summary'!H24+'2b. Annual Total Budget Summary'!J24+'2b. Annual Total Budget Summary'!K24,IF(AND(OR('3. Basic Input &amp; Assumptions'!$G$6="No",'3. Basic Input &amp; Assumptions'!$G$6=""),'3. Basic Input &amp; Assumptions'!$G$7="Yes",OR('3. Basic Input &amp; Assumptions'!$G$8="No",'3. Basic Input &amp; Assumptions'!$G$8=""),OR('3. Basic Input &amp; Assumptions'!$G$9="No",'3. Basic Input &amp; Assumptions'!$G$9="")),'2b. Annual Total Budget Summary'!F24+'2b. Annual Total Budget Summary'!J24+'2b. Annual Total Budget Summary'!K24,IF(AND(OR('3. Basic Input &amp; Assumptions'!$G$6="No",'3. Basic Input &amp; Assumptions'!$G$6=""),OR('3. Basic Input &amp; Assumptions'!$G$7="No",'3. Basic Input &amp; Assumptions'!$G$7=""),'3. Basic Input &amp; Assumptions'!$G$8="Yes",OR('3. Basic Input &amp; Assumptions'!$G$9="No",'3. Basic Input &amp; Assumptions'!$G$9="")),'2b. Annual Total Budget Summary'!G24+'2b. Annual Total Budget Summary'!J24+'2b. Annual Total Budget Summary'!K24,IF(AND(OR('3. Basic Input &amp; Assumptions'!$G$6="No",'3. Basic Input &amp; Assumptions'!$G$6=""),OR('3. Basic Input &amp; Assumptions'!$G$7="No",'3. Basic Input &amp; Assumptions'!$G$7=""),'3. Basic Input &amp; Assumptions'!$G$8="Yes",'3. Basic Input &amp; Assumptions'!$G$9="Yes"),'2b. Annual Total Budget Summary'!G24+'2b. Annual Total Budget Summary'!H24+'2b. Annual Total Budget Summary'!J24+'2b. Annual Total Budget Summary'!K24,IF(AND(OR('3. Basic Input &amp; Assumptions'!$G$6="No",'3. Basic Input &amp; Assumptions'!$G$6=""),OR('3. Basic Input &amp; Assumptions'!$G$7="No",'3. Basic Input &amp; Assumptions'!$G$7=""),OR('3. Basic Input &amp; Assumptions'!$G$8="No",'3. Basic Input &amp; Assumptions'!$G$8=""),'3. Basic Input &amp; Assumptions'!$G$9="Yes"),'2b. Annual Total Budget Summary'!H24+'2b. Annual Total Budget Summary'!J24+'2b. Annual Total Budget Summary'!K24,0)))))))))))))))</f>
        <v>0</v>
      </c>
      <c r="E24" s="215" t="str">
        <f>IF('3. Basic Input &amp; Assumptions'!$G$6="Yes",'4. ACT'!D65,"")</f>
        <v/>
      </c>
      <c r="F24" s="95" t="str">
        <f>IF('3. Basic Input &amp; Assumptions'!$G$7="Yes",'5. ICM'!D77,"")</f>
        <v/>
      </c>
      <c r="G24" s="99" t="str">
        <f>IF('3. Basic Input &amp; Assumptions'!$G$8="Yes",'6. TSS'!D70,"")</f>
        <v/>
      </c>
      <c r="H24" s="99" t="str">
        <f>IF('3. Basic Input &amp; Assumptions'!$G$9="Yes",'7. CTI'!D65,"")</f>
        <v/>
      </c>
      <c r="J24" s="184">
        <f>IF('3. Basic Input &amp; Assumptions'!G12="Yes",'8. General Startup Costs'!$F$28,0)</f>
        <v>0</v>
      </c>
      <c r="K24" s="114"/>
    </row>
    <row r="25" spans="2:11">
      <c r="B25" s="94" t="s">
        <v>62</v>
      </c>
      <c r="C25" s="95">
        <f>IF(AND('3. Basic Input &amp; Assumptions'!$G$6="Yes",'3. Basic Input &amp; Assumptions'!$G$7="Yes",'3. Basic Input &amp; Assumptions'!$G$8="Yes",'3. Basic Input &amp; Assumptions'!$G$9="Yes"),'2b. Annual Total Budget Summary'!E25+'2b. Annual Total Budget Summary'!F25+'2b. Annual Total Budget Summary'!G25+'2b. Annual Total Budget Summary'!H25+'2b. Annual Total Budget Summary'!J25+'2b. Annual Total Budget Summary'!K25,IF(AND('3. Basic Input &amp; Assumptions'!$G$6="Yes",'3. Basic Input &amp; Assumptions'!$G$7="Yes",'3. Basic Input &amp; Assumptions'!$G$8="Yes",OR('3. Basic Input &amp; Assumptions'!$G$9="No",'3. Basic Input &amp; Assumptions'!$G$9="")),'2b. Annual Total Budget Summary'!E25+'2b. Annual Total Budget Summary'!F25+'2b. Annual Total Budget Summary'!G25+'2b. Annual Total Budget Summary'!J25+'2b. Annual Total Budget Summary'!K25,IF(AND('3. Basic Input &amp; Assumptions'!$G$6="Yes",'3. Basic Input &amp; Assumptions'!$G$7="Yes",OR('3. Basic Input &amp; Assumptions'!$G$8="No",'3. Basic Input &amp; Assumptions'!$G$8=""),OR('3. Basic Input &amp; Assumptions'!$G$9="No",'3. Basic Input &amp; Assumptions'!$G$9="")),'2b. Annual Total Budget Summary'!E25+'2b. Annual Total Budget Summary'!F25+'2b. Annual Total Budget Summary'!J25+'2b. Annual Total Budget Summary'!K25,IF(AND('3. Basic Input &amp; Assumptions'!$G$6="Yes",OR('3. Basic Input &amp; Assumptions'!$G$7="No",'3. Basic Input &amp; Assumptions'!$G$7=""),OR('3. Basic Input &amp; Assumptions'!$G$8="No",'3. Basic Input &amp; Assumptions'!$G$8=""),OR('3. Basic Input &amp; Assumptions'!$G$9="No",'3. Basic Input &amp; Assumptions'!$G$9="")),'2b. Annual Total Budget Summary'!E25+'2b. Annual Total Budget Summary'!J25+'2b. Annual Total Budget Summary'!K25,IF(AND('3. Basic Input &amp; Assumptions'!$G$6="Yes",OR('3. Basic Input &amp; Assumptions'!$G$7="No",'3. Basic Input &amp; Assumptions'!$G$7=""),'3. Basic Input &amp; Assumptions'!$G$8="Yes",'3. Basic Input &amp; Assumptions'!$G$9="Yes"),'2b. Annual Total Budget Summary'!E25+'2b. Annual Total Budget Summary'!G25+'2b. Annual Total Budget Summary'!H25+'2b. Annual Total Budget Summary'!J25+'2b. Annual Total Budget Summary'!K25,IF(AND('3. Basic Input &amp; Assumptions'!$G$6="Yes",OR('3. Basic Input &amp; Assumptions'!$G$7="No",'3. Basic Input &amp; Assumptions'!$G$7=""),'3. Basic Input &amp; Assumptions'!$G$8="Yes",OR('3. Basic Input &amp; Assumptions'!$G$9="No",'3. Basic Input &amp; Assumptions'!$G$9="")),'2b. Annual Total Budget Summary'!E25+'2b. Annual Total Budget Summary'!G25+'2b. Annual Total Budget Summary'!J25+'2b. Annual Total Budget Summary'!K25,IF(AND('3. Basic Input &amp; Assumptions'!$G$6="Yes",OR('3. Basic Input &amp; Assumptions'!$G$7="No",'3. Basic Input &amp; Assumptions'!$G$7=""),OR('3. Basic Input &amp; Assumptions'!$G$8="No",'3. Basic Input &amp; Assumptions'!$G$8=""),'3. Basic Input &amp; Assumptions'!$G$9="Yes"),'2b. Annual Total Budget Summary'!E25+'2b. Annual Total Budget Summary'!H25+'2b. Annual Total Budget Summary'!J25+'2b. Annual Total Budget Summary'!K25,IF(AND('3. Basic Input &amp; Assumptions'!$G$6="Yes",'3. Basic Input &amp; Assumptions'!$G$7="Yes",OR('3. Basic Input &amp; Assumptions'!$G$8="No",'3. Basic Input &amp; Assumptions'!$G$8=""),'3. Basic Input &amp; Assumptions'!$G$9="Yes"),'2b. Annual Total Budget Summary'!E25+'2b. Annual Total Budget Summary'!F25+'2b. Annual Total Budget Summary'!H25+'2b. Annual Total Budget Summary'!J25+'2b. Annual Total Budget Summary'!K25,IF(AND(OR('3. Basic Input &amp; Assumptions'!$G$6="No",'3. Basic Input &amp; Assumptions'!$G$6=""),'3. Basic Input &amp; Assumptions'!$G$7="Yes",'3. Basic Input &amp; Assumptions'!$G$8="Yes",'3. Basic Input &amp; Assumptions'!$G$9="Yes"),'2b. Annual Total Budget Summary'!F25+'2b. Annual Total Budget Summary'!G25+'2b. Annual Total Budget Summary'!H25+'2b. Annual Total Budget Summary'!J25+'2b. Annual Total Budget Summary'!K25,IF(AND(OR('3. Basic Input &amp; Assumptions'!$G$6="No",'3. Basic Input &amp; Assumptions'!$G$6=""),'3. Basic Input &amp; Assumptions'!$G$7="Yes",'3. Basic Input &amp; Assumptions'!$G$8="Yes",OR('3. Basic Input &amp; Assumptions'!$G$9="No",'3. Basic Input &amp; Assumptions'!$G$9="")),'2b. Annual Total Budget Summary'!F25+'2b. Annual Total Budget Summary'!G25+'2b. Annual Total Budget Summary'!J25+'2b. Annual Total Budget Summary'!K25,IF(AND(OR('3. Basic Input &amp; Assumptions'!$G$6="No",'3. Basic Input &amp; Assumptions'!$G$6=""),'3. Basic Input &amp; Assumptions'!$G$7="Yes",OR('3. Basic Input &amp; Assumptions'!$G$8="No",'3. Basic Input &amp; Assumptions'!$G$8=""),'3. Basic Input &amp; Assumptions'!$G$9="Yes"),'2b. Annual Total Budget Summary'!F25+'2b. Annual Total Budget Summary'!H25+'2b. Annual Total Budget Summary'!J25+'2b. Annual Total Budget Summary'!K25,IF(AND(OR('3. Basic Input &amp; Assumptions'!$G$6="No",'3. Basic Input &amp; Assumptions'!$G$6=""),'3. Basic Input &amp; Assumptions'!$G$7="Yes",OR('3. Basic Input &amp; Assumptions'!$G$8="No",'3. Basic Input &amp; Assumptions'!$G$8=""),OR('3. Basic Input &amp; Assumptions'!$G$9="No",'3. Basic Input &amp; Assumptions'!$G$9="")),'2b. Annual Total Budget Summary'!F25+'2b. Annual Total Budget Summary'!J25+'2b. Annual Total Budget Summary'!K25,IF(AND(OR('3. Basic Input &amp; Assumptions'!$G$6="No",'3. Basic Input &amp; Assumptions'!$G$6=""),OR('3. Basic Input &amp; Assumptions'!$G$7="No",'3. Basic Input &amp; Assumptions'!$G$7=""),'3. Basic Input &amp; Assumptions'!$G$8="Yes",OR('3. Basic Input &amp; Assumptions'!$G$9="No",'3. Basic Input &amp; Assumptions'!$G$9="")),'2b. Annual Total Budget Summary'!G25+'2b. Annual Total Budget Summary'!J25+'2b. Annual Total Budget Summary'!K25,IF(AND(OR('3. Basic Input &amp; Assumptions'!$G$6="No",'3. Basic Input &amp; Assumptions'!$G$6=""),OR('3. Basic Input &amp; Assumptions'!$G$7="No",'3. Basic Input &amp; Assumptions'!$G$7=""),'3. Basic Input &amp; Assumptions'!$G$8="Yes",'3. Basic Input &amp; Assumptions'!$G$9="Yes"),'2b. Annual Total Budget Summary'!G25+'2b. Annual Total Budget Summary'!H25+'2b. Annual Total Budget Summary'!J25+'2b. Annual Total Budget Summary'!K25,IF(AND(OR('3. Basic Input &amp; Assumptions'!$G$6="No",'3. Basic Input &amp; Assumptions'!$G$6=""),OR('3. Basic Input &amp; Assumptions'!$G$7="No",'3. Basic Input &amp; Assumptions'!$G$7=""),OR('3. Basic Input &amp; Assumptions'!$G$8="No",'3. Basic Input &amp; Assumptions'!$G$8=""),'3. Basic Input &amp; Assumptions'!$G$9="Yes"),'2b. Annual Total Budget Summary'!H25+'2b. Annual Total Budget Summary'!J25+'2b. Annual Total Budget Summary'!K25,0)))))))))))))))</f>
        <v>0</v>
      </c>
      <c r="E25" s="215" t="str">
        <f>IF('3. Basic Input &amp; Assumptions'!$G$6="Yes",'4. ACT'!D66,"")</f>
        <v/>
      </c>
      <c r="F25" s="95" t="str">
        <f>IF('3. Basic Input &amp; Assumptions'!$G$7="Yes",'5. ICM'!D78,"")</f>
        <v/>
      </c>
      <c r="G25" s="99" t="str">
        <f>IF('3. Basic Input &amp; Assumptions'!$G$8="Yes",'6. TSS'!D71,"")</f>
        <v/>
      </c>
      <c r="H25" s="99" t="str">
        <f>IF('3. Basic Input &amp; Assumptions'!$G$9="Yes",'7. CTI'!D66,"")</f>
        <v/>
      </c>
      <c r="J25" s="183"/>
      <c r="K25" s="116">
        <f>IF('3. Basic Input &amp; Assumptions'!G13="Yes",'9. Medicaid Admin Costs'!I28,0)</f>
        <v>0</v>
      </c>
    </row>
    <row r="26" spans="2:11">
      <c r="B26" s="103" t="s">
        <v>63</v>
      </c>
      <c r="C26" s="95">
        <f>IF(AND('3. Basic Input &amp; Assumptions'!$G$6="Yes",'3. Basic Input &amp; Assumptions'!$G$7="Yes",'3. Basic Input &amp; Assumptions'!$G$8="Yes",'3. Basic Input &amp; Assumptions'!$G$9="Yes"),'2b. Annual Total Budget Summary'!E26+'2b. Annual Total Budget Summary'!F26+'2b. Annual Total Budget Summary'!G26+'2b. Annual Total Budget Summary'!H26+'2b. Annual Total Budget Summary'!J26+'2b. Annual Total Budget Summary'!K26,IF(AND('3. Basic Input &amp; Assumptions'!$G$6="Yes",'3. Basic Input &amp; Assumptions'!$G$7="Yes",'3. Basic Input &amp; Assumptions'!$G$8="Yes",OR('3. Basic Input &amp; Assumptions'!$G$9="No",'3. Basic Input &amp; Assumptions'!$G$9="")),'2b. Annual Total Budget Summary'!E26+'2b. Annual Total Budget Summary'!F26+'2b. Annual Total Budget Summary'!G26+'2b. Annual Total Budget Summary'!J26+'2b. Annual Total Budget Summary'!K26,IF(AND('3. Basic Input &amp; Assumptions'!$G$6="Yes",'3. Basic Input &amp; Assumptions'!$G$7="Yes",OR('3. Basic Input &amp; Assumptions'!$G$8="No",'3. Basic Input &amp; Assumptions'!$G$8=""),OR('3. Basic Input &amp; Assumptions'!$G$9="No",'3. Basic Input &amp; Assumptions'!$G$9="")),'2b. Annual Total Budget Summary'!E26+'2b. Annual Total Budget Summary'!F26+'2b. Annual Total Budget Summary'!J26+'2b. Annual Total Budget Summary'!K26,IF(AND('3. Basic Input &amp; Assumptions'!$G$6="Yes",OR('3. Basic Input &amp; Assumptions'!$G$7="No",'3. Basic Input &amp; Assumptions'!$G$7=""),OR('3. Basic Input &amp; Assumptions'!$G$8="No",'3. Basic Input &amp; Assumptions'!$G$8=""),OR('3. Basic Input &amp; Assumptions'!$G$9="No",'3. Basic Input &amp; Assumptions'!$G$9="")),'2b. Annual Total Budget Summary'!E26+'2b. Annual Total Budget Summary'!J26+'2b. Annual Total Budget Summary'!K26,IF(AND('3. Basic Input &amp; Assumptions'!$G$6="Yes",OR('3. Basic Input &amp; Assumptions'!$G$7="No",'3. Basic Input &amp; Assumptions'!$G$7=""),'3. Basic Input &amp; Assumptions'!$G$8="Yes",'3. Basic Input &amp; Assumptions'!$G$9="Yes"),'2b. Annual Total Budget Summary'!E26+'2b. Annual Total Budget Summary'!G26+'2b. Annual Total Budget Summary'!H26+'2b. Annual Total Budget Summary'!J26+'2b. Annual Total Budget Summary'!K26,IF(AND('3. Basic Input &amp; Assumptions'!$G$6="Yes",OR('3. Basic Input &amp; Assumptions'!$G$7="No",'3. Basic Input &amp; Assumptions'!$G$7=""),'3. Basic Input &amp; Assumptions'!$G$8="Yes",OR('3. Basic Input &amp; Assumptions'!$G$9="No",'3. Basic Input &amp; Assumptions'!$G$9="")),'2b. Annual Total Budget Summary'!E26+'2b. Annual Total Budget Summary'!G26+'2b. Annual Total Budget Summary'!J26+'2b. Annual Total Budget Summary'!K26,IF(AND('3. Basic Input &amp; Assumptions'!$G$6="Yes",OR('3. Basic Input &amp; Assumptions'!$G$7="No",'3. Basic Input &amp; Assumptions'!$G$7=""),OR('3. Basic Input &amp; Assumptions'!$G$8="No",'3. Basic Input &amp; Assumptions'!$G$8=""),'3. Basic Input &amp; Assumptions'!$G$9="Yes"),'2b. Annual Total Budget Summary'!E26+'2b. Annual Total Budget Summary'!H26+'2b. Annual Total Budget Summary'!J26+'2b. Annual Total Budget Summary'!K26,IF(AND('3. Basic Input &amp; Assumptions'!$G$6="Yes",'3. Basic Input &amp; Assumptions'!$G$7="Yes",OR('3. Basic Input &amp; Assumptions'!$G$8="No",'3. Basic Input &amp; Assumptions'!$G$8=""),'3. Basic Input &amp; Assumptions'!$G$9="Yes"),'2b. Annual Total Budget Summary'!E26+'2b. Annual Total Budget Summary'!F26+'2b. Annual Total Budget Summary'!H26+'2b. Annual Total Budget Summary'!J26+'2b. Annual Total Budget Summary'!K26,IF(AND(OR('3. Basic Input &amp; Assumptions'!$G$6="No",'3. Basic Input &amp; Assumptions'!$G$6=""),'3. Basic Input &amp; Assumptions'!$G$7="Yes",'3. Basic Input &amp; Assumptions'!$G$8="Yes",'3. Basic Input &amp; Assumptions'!$G$9="Yes"),'2b. Annual Total Budget Summary'!F26+'2b. Annual Total Budget Summary'!G26+'2b. Annual Total Budget Summary'!H26+'2b. Annual Total Budget Summary'!J26+'2b. Annual Total Budget Summary'!K26,IF(AND(OR('3. Basic Input &amp; Assumptions'!$G$6="No",'3. Basic Input &amp; Assumptions'!$G$6=""),'3. Basic Input &amp; Assumptions'!$G$7="Yes",'3. Basic Input &amp; Assumptions'!$G$8="Yes",OR('3. Basic Input &amp; Assumptions'!$G$9="No",'3. Basic Input &amp; Assumptions'!$G$9="")),'2b. Annual Total Budget Summary'!F26+'2b. Annual Total Budget Summary'!G26+'2b. Annual Total Budget Summary'!J26+'2b. Annual Total Budget Summary'!K26,IF(AND(OR('3. Basic Input &amp; Assumptions'!$G$6="No",'3. Basic Input &amp; Assumptions'!$G$6=""),'3. Basic Input &amp; Assumptions'!$G$7="Yes",OR('3. Basic Input &amp; Assumptions'!$G$8="No",'3. Basic Input &amp; Assumptions'!$G$8=""),'3. Basic Input &amp; Assumptions'!$G$9="Yes"),'2b. Annual Total Budget Summary'!F26+'2b. Annual Total Budget Summary'!H26+'2b. Annual Total Budget Summary'!J26+'2b. Annual Total Budget Summary'!K26,IF(AND(OR('3. Basic Input &amp; Assumptions'!$G$6="No",'3. Basic Input &amp; Assumptions'!$G$6=""),'3. Basic Input &amp; Assumptions'!$G$7="Yes",OR('3. Basic Input &amp; Assumptions'!$G$8="No",'3. Basic Input &amp; Assumptions'!$G$8=""),OR('3. Basic Input &amp; Assumptions'!$G$9="No",'3. Basic Input &amp; Assumptions'!$G$9="")),'2b. Annual Total Budget Summary'!F26+'2b. Annual Total Budget Summary'!J26+'2b. Annual Total Budget Summary'!K26,IF(AND(OR('3. Basic Input &amp; Assumptions'!$G$6="No",'3. Basic Input &amp; Assumptions'!$G$6=""),OR('3. Basic Input &amp; Assumptions'!$G$7="No",'3. Basic Input &amp; Assumptions'!$G$7=""),'3. Basic Input &amp; Assumptions'!$G$8="Yes",OR('3. Basic Input &amp; Assumptions'!$G$9="No",'3. Basic Input &amp; Assumptions'!$G$9="")),'2b. Annual Total Budget Summary'!G26+'2b. Annual Total Budget Summary'!J26+'2b. Annual Total Budget Summary'!K26,IF(AND(OR('3. Basic Input &amp; Assumptions'!$G$6="No",'3. Basic Input &amp; Assumptions'!$G$6=""),OR('3. Basic Input &amp; Assumptions'!$G$7="No",'3. Basic Input &amp; Assumptions'!$G$7=""),'3. Basic Input &amp; Assumptions'!$G$8="Yes",'3. Basic Input &amp; Assumptions'!$G$9="Yes"),'2b. Annual Total Budget Summary'!G26+'2b. Annual Total Budget Summary'!H26+'2b. Annual Total Budget Summary'!J26+'2b. Annual Total Budget Summary'!K26,IF(AND(OR('3. Basic Input &amp; Assumptions'!$G$6="No",'3. Basic Input &amp; Assumptions'!$G$6=""),OR('3. Basic Input &amp; Assumptions'!$G$7="No",'3. Basic Input &amp; Assumptions'!$G$7=""),OR('3. Basic Input &amp; Assumptions'!$G$8="No",'3. Basic Input &amp; Assumptions'!$G$8=""),'3. Basic Input &amp; Assumptions'!$G$9="Yes"),'2b. Annual Total Budget Summary'!H26+'2b. Annual Total Budget Summary'!J26+'2b. Annual Total Budget Summary'!K26,0)))))))))))))))</f>
        <v>0</v>
      </c>
      <c r="E26" s="215" t="str">
        <f>IF('3. Basic Input &amp; Assumptions'!$G$6="Yes",'4. ACT'!D67,"")</f>
        <v/>
      </c>
      <c r="F26" s="95" t="str">
        <f>IF('3. Basic Input &amp; Assumptions'!$G$7="Yes",'5. ICM'!D79,"")</f>
        <v/>
      </c>
      <c r="G26" s="99" t="str">
        <f>IF('3. Basic Input &amp; Assumptions'!$G$8="Yes",'6. TSS'!D72,"")</f>
        <v/>
      </c>
      <c r="H26" s="99" t="str">
        <f>IF('3. Basic Input &amp; Assumptions'!$G$9="Yes",'7. CTI'!D67,"")</f>
        <v/>
      </c>
      <c r="J26" s="183"/>
      <c r="K26" s="114"/>
    </row>
    <row r="27" spans="2:11">
      <c r="B27" s="104" t="s">
        <v>64</v>
      </c>
      <c r="C27" s="308">
        <f>IF(AND('3. Basic Input &amp; Assumptions'!$G$6="Yes",'3. Basic Input &amp; Assumptions'!$G$7="Yes",'3. Basic Input &amp; Assumptions'!$G$8="Yes",'3. Basic Input &amp; Assumptions'!$G$9="Yes"),'2b. Annual Total Budget Summary'!E27+'2b. Annual Total Budget Summary'!F27+'2b. Annual Total Budget Summary'!G27+'2b. Annual Total Budget Summary'!H27+'2b. Annual Total Budget Summary'!J27+'2b. Annual Total Budget Summary'!K27,IF(AND('3. Basic Input &amp; Assumptions'!$G$6="Yes",'3. Basic Input &amp; Assumptions'!$G$7="Yes",'3. Basic Input &amp; Assumptions'!$G$8="Yes",OR('3. Basic Input &amp; Assumptions'!$G$9="No",'3. Basic Input &amp; Assumptions'!$G$9="")),'2b. Annual Total Budget Summary'!E27+'2b. Annual Total Budget Summary'!F27+'2b. Annual Total Budget Summary'!G27+'2b. Annual Total Budget Summary'!J27+'2b. Annual Total Budget Summary'!K27,IF(AND('3. Basic Input &amp; Assumptions'!$G$6="Yes",'3. Basic Input &amp; Assumptions'!$G$7="Yes",OR('3. Basic Input &amp; Assumptions'!$G$8="No",'3. Basic Input &amp; Assumptions'!$G$8=""),OR('3. Basic Input &amp; Assumptions'!$G$9="No",'3. Basic Input &amp; Assumptions'!$G$9="")),'2b. Annual Total Budget Summary'!E27+'2b. Annual Total Budget Summary'!F27+'2b. Annual Total Budget Summary'!J27+'2b. Annual Total Budget Summary'!K27,IF(AND('3. Basic Input &amp; Assumptions'!$G$6="Yes",OR('3. Basic Input &amp; Assumptions'!$G$7="No",'3. Basic Input &amp; Assumptions'!$G$7=""),OR('3. Basic Input &amp; Assumptions'!$G$8="No",'3. Basic Input &amp; Assumptions'!$G$8=""),OR('3. Basic Input &amp; Assumptions'!$G$9="No",'3. Basic Input &amp; Assumptions'!$G$9="")),'2b. Annual Total Budget Summary'!E27+'2b. Annual Total Budget Summary'!J27+'2b. Annual Total Budget Summary'!K27,IF(AND('3. Basic Input &amp; Assumptions'!$G$6="Yes",OR('3. Basic Input &amp; Assumptions'!$G$7="No",'3. Basic Input &amp; Assumptions'!$G$7=""),'3. Basic Input &amp; Assumptions'!$G$8="Yes",'3. Basic Input &amp; Assumptions'!$G$9="Yes"),'2b. Annual Total Budget Summary'!E27+'2b. Annual Total Budget Summary'!G27+'2b. Annual Total Budget Summary'!H27+'2b. Annual Total Budget Summary'!J27+'2b. Annual Total Budget Summary'!K27,IF(AND('3. Basic Input &amp; Assumptions'!$G$6="Yes",OR('3. Basic Input &amp; Assumptions'!$G$7="No",'3. Basic Input &amp; Assumptions'!$G$7=""),'3. Basic Input &amp; Assumptions'!$G$8="Yes",OR('3. Basic Input &amp; Assumptions'!$G$9="No",'3. Basic Input &amp; Assumptions'!$G$9="")),'2b. Annual Total Budget Summary'!E27+'2b. Annual Total Budget Summary'!G27+'2b. Annual Total Budget Summary'!J27+'2b. Annual Total Budget Summary'!K27,IF(AND('3. Basic Input &amp; Assumptions'!$G$6="Yes",OR('3. Basic Input &amp; Assumptions'!$G$7="No",'3. Basic Input &amp; Assumptions'!$G$7=""),OR('3. Basic Input &amp; Assumptions'!$G$8="No",'3. Basic Input &amp; Assumptions'!$G$8=""),'3. Basic Input &amp; Assumptions'!$G$9="Yes"),'2b. Annual Total Budget Summary'!E27+'2b. Annual Total Budget Summary'!H27+'2b. Annual Total Budget Summary'!J27+'2b. Annual Total Budget Summary'!K27,IF(AND('3. Basic Input &amp; Assumptions'!$G$6="Yes",'3. Basic Input &amp; Assumptions'!$G$7="Yes",OR('3. Basic Input &amp; Assumptions'!$G$8="No",'3. Basic Input &amp; Assumptions'!$G$8=""),'3. Basic Input &amp; Assumptions'!$G$9="Yes"),'2b. Annual Total Budget Summary'!E27+'2b. Annual Total Budget Summary'!F27+'2b. Annual Total Budget Summary'!H27+'2b. Annual Total Budget Summary'!J27+'2b. Annual Total Budget Summary'!K27,IF(AND(OR('3. Basic Input &amp; Assumptions'!$G$6="No",'3. Basic Input &amp; Assumptions'!$G$6=""),'3. Basic Input &amp; Assumptions'!$G$7="Yes",'3. Basic Input &amp; Assumptions'!$G$8="Yes",'3. Basic Input &amp; Assumptions'!$G$9="Yes"),'2b. Annual Total Budget Summary'!F27+'2b. Annual Total Budget Summary'!G27+'2b. Annual Total Budget Summary'!H27+'2b. Annual Total Budget Summary'!J27+'2b. Annual Total Budget Summary'!K27,IF(AND(OR('3. Basic Input &amp; Assumptions'!$G$6="No",'3. Basic Input &amp; Assumptions'!$G$6=""),'3. Basic Input &amp; Assumptions'!$G$7="Yes",'3. Basic Input &amp; Assumptions'!$G$8="Yes",OR('3. Basic Input &amp; Assumptions'!$G$9="No",'3. Basic Input &amp; Assumptions'!$G$9="")),'2b. Annual Total Budget Summary'!F27+'2b. Annual Total Budget Summary'!G27+'2b. Annual Total Budget Summary'!J27+'2b. Annual Total Budget Summary'!K27,IF(AND(OR('3. Basic Input &amp; Assumptions'!$G$6="No",'3. Basic Input &amp; Assumptions'!$G$6=""),'3. Basic Input &amp; Assumptions'!$G$7="Yes",OR('3. Basic Input &amp; Assumptions'!$G$8="No",'3. Basic Input &amp; Assumptions'!$G$8=""),'3. Basic Input &amp; Assumptions'!$G$9="Yes"),'2b. Annual Total Budget Summary'!F27+'2b. Annual Total Budget Summary'!H27+'2b. Annual Total Budget Summary'!J27+'2b. Annual Total Budget Summary'!K27,IF(AND(OR('3. Basic Input &amp; Assumptions'!$G$6="No",'3. Basic Input &amp; Assumptions'!$G$6=""),'3. Basic Input &amp; Assumptions'!$G$7="Yes",OR('3. Basic Input &amp; Assumptions'!$G$8="No",'3. Basic Input &amp; Assumptions'!$G$8=""),OR('3. Basic Input &amp; Assumptions'!$G$9="No",'3. Basic Input &amp; Assumptions'!$G$9="")),'2b. Annual Total Budget Summary'!F27+'2b. Annual Total Budget Summary'!J27+'2b. Annual Total Budget Summary'!K27,IF(AND(OR('3. Basic Input &amp; Assumptions'!$G$6="No",'3. Basic Input &amp; Assumptions'!$G$6=""),OR('3. Basic Input &amp; Assumptions'!$G$7="No",'3. Basic Input &amp; Assumptions'!$G$7=""),'3. Basic Input &amp; Assumptions'!$G$8="Yes",OR('3. Basic Input &amp; Assumptions'!$G$9="No",'3. Basic Input &amp; Assumptions'!$G$9="")),'2b. Annual Total Budget Summary'!G27+'2b. Annual Total Budget Summary'!J27+'2b. Annual Total Budget Summary'!K27,IF(AND(OR('3. Basic Input &amp; Assumptions'!$G$6="No",'3. Basic Input &amp; Assumptions'!$G$6=""),OR('3. Basic Input &amp; Assumptions'!$G$7="No",'3. Basic Input &amp; Assumptions'!$G$7=""),'3. Basic Input &amp; Assumptions'!$G$8="Yes",'3. Basic Input &amp; Assumptions'!$G$9="Yes"),'2b. Annual Total Budget Summary'!G27+'2b. Annual Total Budget Summary'!H27+'2b. Annual Total Budget Summary'!J27+'2b. Annual Total Budget Summary'!K27,IF(AND(OR('3. Basic Input &amp; Assumptions'!$G$6="No",'3. Basic Input &amp; Assumptions'!$G$6=""),OR('3. Basic Input &amp; Assumptions'!$G$7="No",'3. Basic Input &amp; Assumptions'!$G$7=""),OR('3. Basic Input &amp; Assumptions'!$G$8="No",'3. Basic Input &amp; Assumptions'!$G$8=""),'3. Basic Input &amp; Assumptions'!$G$9="Yes"),'2b. Annual Total Budget Summary'!H27+'2b. Annual Total Budget Summary'!J27+'2b. Annual Total Budget Summary'!K27,0)))))))))))))))</f>
        <v>0</v>
      </c>
      <c r="D27" s="301"/>
      <c r="E27" s="316" t="str">
        <f>IF('3. Basic Input &amp; Assumptions'!$G$6="Yes",'4. ACT'!D68,"")</f>
        <v/>
      </c>
      <c r="F27" s="308" t="str">
        <f>IF('3. Basic Input &amp; Assumptions'!$G$7="Yes",'5. ICM'!D80,"")</f>
        <v/>
      </c>
      <c r="G27" s="309" t="str">
        <f>IF('3. Basic Input &amp; Assumptions'!$G$8="Yes",'6. TSS'!D73,"")</f>
        <v/>
      </c>
      <c r="H27" s="309" t="str">
        <f>IF('3. Basic Input &amp; Assumptions'!$G$9="Yes",'7. CTI'!D68,"")</f>
        <v/>
      </c>
      <c r="J27" s="191"/>
      <c r="K27" s="192"/>
    </row>
    <row r="28" spans="2:11">
      <c r="B28" s="105" t="s">
        <v>65</v>
      </c>
      <c r="C28" s="310">
        <f>IF(AND('3. Basic Input &amp; Assumptions'!$G$6="Yes",'3. Basic Input &amp; Assumptions'!$G$7="Yes",'3. Basic Input &amp; Assumptions'!$G$8="Yes",'3. Basic Input &amp; Assumptions'!$G$9="Yes"),'2b. Annual Total Budget Summary'!E28+'2b. Annual Total Budget Summary'!F28+'2b. Annual Total Budget Summary'!G28+'2b. Annual Total Budget Summary'!H28+'2b. Annual Total Budget Summary'!J28+'2b. Annual Total Budget Summary'!K28,IF(AND('3. Basic Input &amp; Assumptions'!$G$6="Yes",'3. Basic Input &amp; Assumptions'!$G$7="Yes",'3. Basic Input &amp; Assumptions'!$G$8="Yes",OR('3. Basic Input &amp; Assumptions'!$G$9="No",'3. Basic Input &amp; Assumptions'!$G$9="")),'2b. Annual Total Budget Summary'!E28+'2b. Annual Total Budget Summary'!F28+'2b. Annual Total Budget Summary'!G28+'2b. Annual Total Budget Summary'!J28+'2b. Annual Total Budget Summary'!K28,IF(AND('3. Basic Input &amp; Assumptions'!$G$6="Yes",'3. Basic Input &amp; Assumptions'!$G$7="Yes",OR('3. Basic Input &amp; Assumptions'!$G$8="No",'3. Basic Input &amp; Assumptions'!$G$8=""),OR('3. Basic Input &amp; Assumptions'!$G$9="No",'3. Basic Input &amp; Assumptions'!$G$9="")),'2b. Annual Total Budget Summary'!E28+'2b. Annual Total Budget Summary'!F28+'2b. Annual Total Budget Summary'!J28+'2b. Annual Total Budget Summary'!K28,IF(AND('3. Basic Input &amp; Assumptions'!$G$6="Yes",OR('3. Basic Input &amp; Assumptions'!$G$7="No",'3. Basic Input &amp; Assumptions'!$G$7=""),OR('3. Basic Input &amp; Assumptions'!$G$8="No",'3. Basic Input &amp; Assumptions'!$G$8=""),OR('3. Basic Input &amp; Assumptions'!$G$9="No",'3. Basic Input &amp; Assumptions'!$G$9="")),'2b. Annual Total Budget Summary'!E28+'2b. Annual Total Budget Summary'!J28+'2b. Annual Total Budget Summary'!K28,IF(AND('3. Basic Input &amp; Assumptions'!$G$6="Yes",OR('3. Basic Input &amp; Assumptions'!$G$7="No",'3. Basic Input &amp; Assumptions'!$G$7=""),'3. Basic Input &amp; Assumptions'!$G$8="Yes",'3. Basic Input &amp; Assumptions'!$G$9="Yes"),'2b. Annual Total Budget Summary'!E28+'2b. Annual Total Budget Summary'!G28+'2b. Annual Total Budget Summary'!H28+'2b. Annual Total Budget Summary'!J28+'2b. Annual Total Budget Summary'!K28,IF(AND('3. Basic Input &amp; Assumptions'!$G$6="Yes",OR('3. Basic Input &amp; Assumptions'!$G$7="No",'3. Basic Input &amp; Assumptions'!$G$7=""),'3. Basic Input &amp; Assumptions'!$G$8="Yes",OR('3. Basic Input &amp; Assumptions'!$G$9="No",'3. Basic Input &amp; Assumptions'!$G$9="")),'2b. Annual Total Budget Summary'!E28+'2b. Annual Total Budget Summary'!G28+'2b. Annual Total Budget Summary'!J28+'2b. Annual Total Budget Summary'!K28,IF(AND('3. Basic Input &amp; Assumptions'!$G$6="Yes",OR('3. Basic Input &amp; Assumptions'!$G$7="No",'3. Basic Input &amp; Assumptions'!$G$7=""),OR('3. Basic Input &amp; Assumptions'!$G$8="No",'3. Basic Input &amp; Assumptions'!$G$8=""),'3. Basic Input &amp; Assumptions'!$G$9="Yes"),'2b. Annual Total Budget Summary'!E28+'2b. Annual Total Budget Summary'!H28+'2b. Annual Total Budget Summary'!J28+'2b. Annual Total Budget Summary'!K28,IF(AND('3. Basic Input &amp; Assumptions'!$G$6="Yes",'3. Basic Input &amp; Assumptions'!$G$7="Yes",OR('3. Basic Input &amp; Assumptions'!$G$8="No",'3. Basic Input &amp; Assumptions'!$G$8=""),'3. Basic Input &amp; Assumptions'!$G$9="Yes"),'2b. Annual Total Budget Summary'!E28+'2b. Annual Total Budget Summary'!F28+'2b. Annual Total Budget Summary'!H28+'2b. Annual Total Budget Summary'!J28+'2b. Annual Total Budget Summary'!K28,IF(AND(OR('3. Basic Input &amp; Assumptions'!$G$6="No",'3. Basic Input &amp; Assumptions'!$G$6=""),'3. Basic Input &amp; Assumptions'!$G$7="Yes",'3. Basic Input &amp; Assumptions'!$G$8="Yes",'3. Basic Input &amp; Assumptions'!$G$9="Yes"),'2b. Annual Total Budget Summary'!F28+'2b. Annual Total Budget Summary'!G28+'2b. Annual Total Budget Summary'!H28+'2b. Annual Total Budget Summary'!J28+'2b. Annual Total Budget Summary'!K28,IF(AND(OR('3. Basic Input &amp; Assumptions'!$G$6="No",'3. Basic Input &amp; Assumptions'!$G$6=""),'3. Basic Input &amp; Assumptions'!$G$7="Yes",'3. Basic Input &amp; Assumptions'!$G$8="Yes",OR('3. Basic Input &amp; Assumptions'!$G$9="No",'3. Basic Input &amp; Assumptions'!$G$9="")),'2b. Annual Total Budget Summary'!F28+'2b. Annual Total Budget Summary'!G28+'2b. Annual Total Budget Summary'!J28+'2b. Annual Total Budget Summary'!K28,IF(AND(OR('3. Basic Input &amp; Assumptions'!$G$6="No",'3. Basic Input &amp; Assumptions'!$G$6=""),'3. Basic Input &amp; Assumptions'!$G$7="Yes",OR('3. Basic Input &amp; Assumptions'!$G$8="No",'3. Basic Input &amp; Assumptions'!$G$8=""),'3. Basic Input &amp; Assumptions'!$G$9="Yes"),'2b. Annual Total Budget Summary'!F28+'2b. Annual Total Budget Summary'!H28+'2b. Annual Total Budget Summary'!J28+'2b. Annual Total Budget Summary'!K28,IF(AND(OR('3. Basic Input &amp; Assumptions'!$G$6="No",'3. Basic Input &amp; Assumptions'!$G$6=""),'3. Basic Input &amp; Assumptions'!$G$7="Yes",OR('3. Basic Input &amp; Assumptions'!$G$8="No",'3. Basic Input &amp; Assumptions'!$G$8=""),OR('3. Basic Input &amp; Assumptions'!$G$9="No",'3. Basic Input &amp; Assumptions'!$G$9="")),'2b. Annual Total Budget Summary'!F28+'2b. Annual Total Budget Summary'!J28+'2b. Annual Total Budget Summary'!K28,IF(AND(OR('3. Basic Input &amp; Assumptions'!$G$6="No",'3. Basic Input &amp; Assumptions'!$G$6=""),OR('3. Basic Input &amp; Assumptions'!$G$7="No",'3. Basic Input &amp; Assumptions'!$G$7=""),'3. Basic Input &amp; Assumptions'!$G$8="Yes",OR('3. Basic Input &amp; Assumptions'!$G$9="No",'3. Basic Input &amp; Assumptions'!$G$9="")),'2b. Annual Total Budget Summary'!G28+'2b. Annual Total Budget Summary'!J28+'2b. Annual Total Budget Summary'!K28,IF(AND(OR('3. Basic Input &amp; Assumptions'!$G$6="No",'3. Basic Input &amp; Assumptions'!$G$6=""),OR('3. Basic Input &amp; Assumptions'!$G$7="No",'3. Basic Input &amp; Assumptions'!$G$7=""),'3. Basic Input &amp; Assumptions'!$G$8="Yes",'3. Basic Input &amp; Assumptions'!$G$9="Yes"),'2b. Annual Total Budget Summary'!G28+'2b. Annual Total Budget Summary'!H28+'2b. Annual Total Budget Summary'!J28+'2b. Annual Total Budget Summary'!K28,IF(AND(OR('3. Basic Input &amp; Assumptions'!$G$6="No",'3. Basic Input &amp; Assumptions'!$G$6=""),OR('3. Basic Input &amp; Assumptions'!$G$7="No",'3. Basic Input &amp; Assumptions'!$G$7=""),OR('3. Basic Input &amp; Assumptions'!$G$8="No",'3. Basic Input &amp; Assumptions'!$G$8=""),'3. Basic Input &amp; Assumptions'!$G$9="Yes"),'2b. Annual Total Budget Summary'!H28+'2b. Annual Total Budget Summary'!J28+'2b. Annual Total Budget Summary'!K28,0)))))))))))))))</f>
        <v>0</v>
      </c>
      <c r="D28" s="301"/>
      <c r="E28" s="317" t="str">
        <f>IF('3. Basic Input &amp; Assumptions'!$G$6="Yes",'4. ACT'!D69,"")</f>
        <v/>
      </c>
      <c r="F28" s="311" t="str">
        <f>IF('3. Basic Input &amp; Assumptions'!$G$7="Yes",'5. ICM'!D81,"")</f>
        <v/>
      </c>
      <c r="G28" s="312" t="str">
        <f>IF('3. Basic Input &amp; Assumptions'!$G$8="Yes",'6. TSS'!D74,"")</f>
        <v/>
      </c>
      <c r="H28" s="312" t="str">
        <f>IF('3. Basic Input &amp; Assumptions'!$G$9="Yes",'7. CTI'!D69,"")</f>
        <v/>
      </c>
      <c r="J28" s="193"/>
      <c r="K28" s="194"/>
    </row>
    <row r="29" spans="2:11">
      <c r="B29" s="105" t="s">
        <v>66</v>
      </c>
      <c r="C29" s="310">
        <f>IF(AND('3. Basic Input &amp; Assumptions'!$G$6="Yes",'3. Basic Input &amp; Assumptions'!$G$7="Yes",'3. Basic Input &amp; Assumptions'!$G$8="Yes",'3. Basic Input &amp; Assumptions'!$G$9="Yes"),'2b. Annual Total Budget Summary'!E29+'2b. Annual Total Budget Summary'!F29+'2b. Annual Total Budget Summary'!G29+'2b. Annual Total Budget Summary'!H29+'2b. Annual Total Budget Summary'!J29+'2b. Annual Total Budget Summary'!K29,IF(AND('3. Basic Input &amp; Assumptions'!$G$6="Yes",'3. Basic Input &amp; Assumptions'!$G$7="Yes",'3. Basic Input &amp; Assumptions'!$G$8="Yes",OR('3. Basic Input &amp; Assumptions'!$G$9="No",'3. Basic Input &amp; Assumptions'!$G$9="")),'2b. Annual Total Budget Summary'!E29+'2b. Annual Total Budget Summary'!F29+'2b. Annual Total Budget Summary'!G29+'2b. Annual Total Budget Summary'!J29+'2b. Annual Total Budget Summary'!K29,IF(AND('3. Basic Input &amp; Assumptions'!$G$6="Yes",'3. Basic Input &amp; Assumptions'!$G$7="Yes",OR('3. Basic Input &amp; Assumptions'!$G$8="No",'3. Basic Input &amp; Assumptions'!$G$8=""),OR('3. Basic Input &amp; Assumptions'!$G$9="No",'3. Basic Input &amp; Assumptions'!$G$9="")),'2b. Annual Total Budget Summary'!E29+'2b. Annual Total Budget Summary'!F29+'2b. Annual Total Budget Summary'!J29+'2b. Annual Total Budget Summary'!K29,IF(AND('3. Basic Input &amp; Assumptions'!$G$6="Yes",OR('3. Basic Input &amp; Assumptions'!$G$7="No",'3. Basic Input &amp; Assumptions'!$G$7=""),OR('3. Basic Input &amp; Assumptions'!$G$8="No",'3. Basic Input &amp; Assumptions'!$G$8=""),OR('3. Basic Input &amp; Assumptions'!$G$9="No",'3. Basic Input &amp; Assumptions'!$G$9="")),'2b. Annual Total Budget Summary'!E29+'2b. Annual Total Budget Summary'!J29+'2b. Annual Total Budget Summary'!K29,IF(AND('3. Basic Input &amp; Assumptions'!$G$6="Yes",OR('3. Basic Input &amp; Assumptions'!$G$7="No",'3. Basic Input &amp; Assumptions'!$G$7=""),'3. Basic Input &amp; Assumptions'!$G$8="Yes",'3. Basic Input &amp; Assumptions'!$G$9="Yes"),'2b. Annual Total Budget Summary'!E29+'2b. Annual Total Budget Summary'!G29+'2b. Annual Total Budget Summary'!H29+'2b. Annual Total Budget Summary'!J29+'2b. Annual Total Budget Summary'!K29,IF(AND('3. Basic Input &amp; Assumptions'!$G$6="Yes",OR('3. Basic Input &amp; Assumptions'!$G$7="No",'3. Basic Input &amp; Assumptions'!$G$7=""),'3. Basic Input &amp; Assumptions'!$G$8="Yes",OR('3. Basic Input &amp; Assumptions'!$G$9="No",'3. Basic Input &amp; Assumptions'!$G$9="")),'2b. Annual Total Budget Summary'!E29+'2b. Annual Total Budget Summary'!G29+'2b. Annual Total Budget Summary'!J29+'2b. Annual Total Budget Summary'!K29,IF(AND('3. Basic Input &amp; Assumptions'!$G$6="Yes",OR('3. Basic Input &amp; Assumptions'!$G$7="No",'3. Basic Input &amp; Assumptions'!$G$7=""),OR('3. Basic Input &amp; Assumptions'!$G$8="No",'3. Basic Input &amp; Assumptions'!$G$8=""),'3. Basic Input &amp; Assumptions'!$G$9="Yes"),'2b. Annual Total Budget Summary'!E29+'2b. Annual Total Budget Summary'!H29+'2b. Annual Total Budget Summary'!J29+'2b. Annual Total Budget Summary'!K29,IF(AND('3. Basic Input &amp; Assumptions'!$G$6="Yes",'3. Basic Input &amp; Assumptions'!$G$7="Yes",OR('3. Basic Input &amp; Assumptions'!$G$8="No",'3. Basic Input &amp; Assumptions'!$G$8=""),'3. Basic Input &amp; Assumptions'!$G$9="Yes"),'2b. Annual Total Budget Summary'!E29+'2b. Annual Total Budget Summary'!F29+'2b. Annual Total Budget Summary'!H29+'2b. Annual Total Budget Summary'!J29+'2b. Annual Total Budget Summary'!K29,IF(AND(OR('3. Basic Input &amp; Assumptions'!$G$6="No",'3. Basic Input &amp; Assumptions'!$G$6=""),'3. Basic Input &amp; Assumptions'!$G$7="Yes",'3. Basic Input &amp; Assumptions'!$G$8="Yes",'3. Basic Input &amp; Assumptions'!$G$9="Yes"),'2b. Annual Total Budget Summary'!F29+'2b. Annual Total Budget Summary'!G29+'2b. Annual Total Budget Summary'!H29+'2b. Annual Total Budget Summary'!J29+'2b. Annual Total Budget Summary'!K29,IF(AND(OR('3. Basic Input &amp; Assumptions'!$G$6="No",'3. Basic Input &amp; Assumptions'!$G$6=""),'3. Basic Input &amp; Assumptions'!$G$7="Yes",'3. Basic Input &amp; Assumptions'!$G$8="Yes",OR('3. Basic Input &amp; Assumptions'!$G$9="No",'3. Basic Input &amp; Assumptions'!$G$9="")),'2b. Annual Total Budget Summary'!F29+'2b. Annual Total Budget Summary'!G29+'2b. Annual Total Budget Summary'!J29+'2b. Annual Total Budget Summary'!K29,IF(AND(OR('3. Basic Input &amp; Assumptions'!$G$6="No",'3. Basic Input &amp; Assumptions'!$G$6=""),'3. Basic Input &amp; Assumptions'!$G$7="Yes",OR('3. Basic Input &amp; Assumptions'!$G$8="No",'3. Basic Input &amp; Assumptions'!$G$8=""),'3. Basic Input &amp; Assumptions'!$G$9="Yes"),'2b. Annual Total Budget Summary'!F29+'2b. Annual Total Budget Summary'!H29+'2b. Annual Total Budget Summary'!J29+'2b. Annual Total Budget Summary'!K29,IF(AND(OR('3. Basic Input &amp; Assumptions'!$G$6="No",'3. Basic Input &amp; Assumptions'!$G$6=""),'3. Basic Input &amp; Assumptions'!$G$7="Yes",OR('3. Basic Input &amp; Assumptions'!$G$8="No",'3. Basic Input &amp; Assumptions'!$G$8=""),OR('3. Basic Input &amp; Assumptions'!$G$9="No",'3. Basic Input &amp; Assumptions'!$G$9="")),'2b. Annual Total Budget Summary'!F29+'2b. Annual Total Budget Summary'!J29+'2b. Annual Total Budget Summary'!K29,IF(AND(OR('3. Basic Input &amp; Assumptions'!$G$6="No",'3. Basic Input &amp; Assumptions'!$G$6=""),OR('3. Basic Input &amp; Assumptions'!$G$7="No",'3. Basic Input &amp; Assumptions'!$G$7=""),'3. Basic Input &amp; Assumptions'!$G$8="Yes",OR('3. Basic Input &amp; Assumptions'!$G$9="No",'3. Basic Input &amp; Assumptions'!$G$9="")),'2b. Annual Total Budget Summary'!G29+'2b. Annual Total Budget Summary'!J29+'2b. Annual Total Budget Summary'!K29,IF(AND(OR('3. Basic Input &amp; Assumptions'!$G$6="No",'3. Basic Input &amp; Assumptions'!$G$6=""),OR('3. Basic Input &amp; Assumptions'!$G$7="No",'3. Basic Input &amp; Assumptions'!$G$7=""),'3. Basic Input &amp; Assumptions'!$G$8="Yes",'3. Basic Input &amp; Assumptions'!$G$9="Yes"),'2b. Annual Total Budget Summary'!G29+'2b. Annual Total Budget Summary'!H29+'2b. Annual Total Budget Summary'!J29+'2b. Annual Total Budget Summary'!K29,IF(AND(OR('3. Basic Input &amp; Assumptions'!$G$6="No",'3. Basic Input &amp; Assumptions'!$G$6=""),OR('3. Basic Input &amp; Assumptions'!$G$7="No",'3. Basic Input &amp; Assumptions'!$G$7=""),OR('3. Basic Input &amp; Assumptions'!$G$8="No",'3. Basic Input &amp; Assumptions'!$G$8=""),'3. Basic Input &amp; Assumptions'!$G$9="Yes"),'2b. Annual Total Budget Summary'!H29+'2b. Annual Total Budget Summary'!J29+'2b. Annual Total Budget Summary'!K29,0)))))))))))))))</f>
        <v>0</v>
      </c>
      <c r="D29" s="301"/>
      <c r="E29" s="317" t="str">
        <f>IF('3. Basic Input &amp; Assumptions'!$G$6="Yes",'4. ACT'!D70,"")</f>
        <v/>
      </c>
      <c r="F29" s="311" t="str">
        <f>IF('3. Basic Input &amp; Assumptions'!$G$7="Yes",'5. ICM'!D82,"")</f>
        <v/>
      </c>
      <c r="G29" s="312" t="str">
        <f>IF('3. Basic Input &amp; Assumptions'!$G$8="Yes",'6. TSS'!D75,"")</f>
        <v/>
      </c>
      <c r="H29" s="312" t="str">
        <f>IF('3. Basic Input &amp; Assumptions'!$G$9="Yes",'7. CTI'!D70,"")</f>
        <v/>
      </c>
      <c r="J29" s="193"/>
      <c r="K29" s="194"/>
    </row>
    <row r="30" spans="2:11">
      <c r="B30" s="94" t="s">
        <v>67</v>
      </c>
      <c r="C30" s="95">
        <f>IF(AND('3. Basic Input &amp; Assumptions'!$G$6="Yes",'3. Basic Input &amp; Assumptions'!$G$7="Yes",'3. Basic Input &amp; Assumptions'!$G$8="Yes",'3. Basic Input &amp; Assumptions'!$G$9="Yes"),'2b. Annual Total Budget Summary'!E30+'2b. Annual Total Budget Summary'!F30+'2b. Annual Total Budget Summary'!G30+'2b. Annual Total Budget Summary'!H30+'2b. Annual Total Budget Summary'!J30+'2b. Annual Total Budget Summary'!K30,IF(AND('3. Basic Input &amp; Assumptions'!$G$6="Yes",'3. Basic Input &amp; Assumptions'!$G$7="Yes",'3. Basic Input &amp; Assumptions'!$G$8="Yes",OR('3. Basic Input &amp; Assumptions'!$G$9="No",'3. Basic Input &amp; Assumptions'!$G$9="")),'2b. Annual Total Budget Summary'!E30+'2b. Annual Total Budget Summary'!F30+'2b. Annual Total Budget Summary'!G30+'2b. Annual Total Budget Summary'!J30+'2b. Annual Total Budget Summary'!K30,IF(AND('3. Basic Input &amp; Assumptions'!$G$6="Yes",'3. Basic Input &amp; Assumptions'!$G$7="Yes",OR('3. Basic Input &amp; Assumptions'!$G$8="No",'3. Basic Input &amp; Assumptions'!$G$8=""),OR('3. Basic Input &amp; Assumptions'!$G$9="No",'3. Basic Input &amp; Assumptions'!$G$9="")),'2b. Annual Total Budget Summary'!E30+'2b. Annual Total Budget Summary'!F30+'2b. Annual Total Budget Summary'!J30+'2b. Annual Total Budget Summary'!K30,IF(AND('3. Basic Input &amp; Assumptions'!$G$6="Yes",OR('3. Basic Input &amp; Assumptions'!$G$7="No",'3. Basic Input &amp; Assumptions'!$G$7=""),OR('3. Basic Input &amp; Assumptions'!$G$8="No",'3. Basic Input &amp; Assumptions'!$G$8=""),OR('3. Basic Input &amp; Assumptions'!$G$9="No",'3. Basic Input &amp; Assumptions'!$G$9="")),'2b. Annual Total Budget Summary'!E30+'2b. Annual Total Budget Summary'!J30+'2b. Annual Total Budget Summary'!K30,IF(AND('3. Basic Input &amp; Assumptions'!$G$6="Yes",OR('3. Basic Input &amp; Assumptions'!$G$7="No",'3. Basic Input &amp; Assumptions'!$G$7=""),'3. Basic Input &amp; Assumptions'!$G$8="Yes",'3. Basic Input &amp; Assumptions'!$G$9="Yes"),'2b. Annual Total Budget Summary'!E30+'2b. Annual Total Budget Summary'!G30+'2b. Annual Total Budget Summary'!H30+'2b. Annual Total Budget Summary'!J30+'2b. Annual Total Budget Summary'!K30,IF(AND('3. Basic Input &amp; Assumptions'!$G$6="Yes",OR('3. Basic Input &amp; Assumptions'!$G$7="No",'3. Basic Input &amp; Assumptions'!$G$7=""),'3. Basic Input &amp; Assumptions'!$G$8="Yes",OR('3. Basic Input &amp; Assumptions'!$G$9="No",'3. Basic Input &amp; Assumptions'!$G$9="")),'2b. Annual Total Budget Summary'!E30+'2b. Annual Total Budget Summary'!G30+'2b. Annual Total Budget Summary'!J30+'2b. Annual Total Budget Summary'!K30,IF(AND('3. Basic Input &amp; Assumptions'!$G$6="Yes",OR('3. Basic Input &amp; Assumptions'!$G$7="No",'3. Basic Input &amp; Assumptions'!$G$7=""),OR('3. Basic Input &amp; Assumptions'!$G$8="No",'3. Basic Input &amp; Assumptions'!$G$8=""),'3. Basic Input &amp; Assumptions'!$G$9="Yes"),'2b. Annual Total Budget Summary'!E30+'2b. Annual Total Budget Summary'!H30+'2b. Annual Total Budget Summary'!J30+'2b. Annual Total Budget Summary'!K30,IF(AND('3. Basic Input &amp; Assumptions'!$G$6="Yes",'3. Basic Input &amp; Assumptions'!$G$7="Yes",OR('3. Basic Input &amp; Assumptions'!$G$8="No",'3. Basic Input &amp; Assumptions'!$G$8=""),'3. Basic Input &amp; Assumptions'!$G$9="Yes"),'2b. Annual Total Budget Summary'!E30+'2b. Annual Total Budget Summary'!F30+'2b. Annual Total Budget Summary'!H30+'2b. Annual Total Budget Summary'!J30+'2b. Annual Total Budget Summary'!K30,IF(AND(OR('3. Basic Input &amp; Assumptions'!$G$6="No",'3. Basic Input &amp; Assumptions'!$G$6=""),'3. Basic Input &amp; Assumptions'!$G$7="Yes",'3. Basic Input &amp; Assumptions'!$G$8="Yes",'3. Basic Input &amp; Assumptions'!$G$9="Yes"),'2b. Annual Total Budget Summary'!F30+'2b. Annual Total Budget Summary'!G30+'2b. Annual Total Budget Summary'!H30+'2b. Annual Total Budget Summary'!J30+'2b. Annual Total Budget Summary'!K30,IF(AND(OR('3. Basic Input &amp; Assumptions'!$G$6="No",'3. Basic Input &amp; Assumptions'!$G$6=""),'3. Basic Input &amp; Assumptions'!$G$7="Yes",'3. Basic Input &amp; Assumptions'!$G$8="Yes",OR('3. Basic Input &amp; Assumptions'!$G$9="No",'3. Basic Input &amp; Assumptions'!$G$9="")),'2b. Annual Total Budget Summary'!F30+'2b. Annual Total Budget Summary'!G30+'2b. Annual Total Budget Summary'!J30+'2b. Annual Total Budget Summary'!K30,IF(AND(OR('3. Basic Input &amp; Assumptions'!$G$6="No",'3. Basic Input &amp; Assumptions'!$G$6=""),'3. Basic Input &amp; Assumptions'!$G$7="Yes",OR('3. Basic Input &amp; Assumptions'!$G$8="No",'3. Basic Input &amp; Assumptions'!$G$8=""),'3. Basic Input &amp; Assumptions'!$G$9="Yes"),'2b. Annual Total Budget Summary'!F30+'2b. Annual Total Budget Summary'!H30+'2b. Annual Total Budget Summary'!J30+'2b. Annual Total Budget Summary'!K30,IF(AND(OR('3. Basic Input &amp; Assumptions'!$G$6="No",'3. Basic Input &amp; Assumptions'!$G$6=""),'3. Basic Input &amp; Assumptions'!$G$7="Yes",OR('3. Basic Input &amp; Assumptions'!$G$8="No",'3. Basic Input &amp; Assumptions'!$G$8=""),OR('3. Basic Input &amp; Assumptions'!$G$9="No",'3. Basic Input &amp; Assumptions'!$G$9="")),'2b. Annual Total Budget Summary'!F30+'2b. Annual Total Budget Summary'!J30+'2b. Annual Total Budget Summary'!K30,IF(AND(OR('3. Basic Input &amp; Assumptions'!$G$6="No",'3. Basic Input &amp; Assumptions'!$G$6=""),OR('3. Basic Input &amp; Assumptions'!$G$7="No",'3. Basic Input &amp; Assumptions'!$G$7=""),'3. Basic Input &amp; Assumptions'!$G$8="Yes",OR('3. Basic Input &amp; Assumptions'!$G$9="No",'3. Basic Input &amp; Assumptions'!$G$9="")),'2b. Annual Total Budget Summary'!G30+'2b. Annual Total Budget Summary'!J30+'2b. Annual Total Budget Summary'!K30,IF(AND(OR('3. Basic Input &amp; Assumptions'!$G$6="No",'3. Basic Input &amp; Assumptions'!$G$6=""),OR('3. Basic Input &amp; Assumptions'!$G$7="No",'3. Basic Input &amp; Assumptions'!$G$7=""),'3. Basic Input &amp; Assumptions'!$G$8="Yes",'3. Basic Input &amp; Assumptions'!$G$9="Yes"),'2b. Annual Total Budget Summary'!G30+'2b. Annual Total Budget Summary'!H30+'2b. Annual Total Budget Summary'!J30+'2b. Annual Total Budget Summary'!K30,IF(AND(OR('3. Basic Input &amp; Assumptions'!$G$6="No",'3. Basic Input &amp; Assumptions'!$G$6=""),OR('3. Basic Input &amp; Assumptions'!$G$7="No",'3. Basic Input &amp; Assumptions'!$G$7=""),OR('3. Basic Input &amp; Assumptions'!$G$8="No",'3. Basic Input &amp; Assumptions'!$G$8=""),'3. Basic Input &amp; Assumptions'!$G$9="Yes"),'2b. Annual Total Budget Summary'!H30+'2b. Annual Total Budget Summary'!J30+'2b. Annual Total Budget Summary'!K30,0)))))))))))))))</f>
        <v>0</v>
      </c>
      <c r="E30" s="215" t="str">
        <f>IF('3. Basic Input &amp; Assumptions'!$G$6="Yes",'4. ACT'!D71,"")</f>
        <v/>
      </c>
      <c r="F30" s="95" t="str">
        <f>IF('3. Basic Input &amp; Assumptions'!$G$7="Yes",'5. ICM'!D83,"")</f>
        <v/>
      </c>
      <c r="G30" s="99" t="str">
        <f>IF('3. Basic Input &amp; Assumptions'!$G$8="Yes",'6. TSS'!D76,"")</f>
        <v/>
      </c>
      <c r="H30" s="99" t="str">
        <f>IF('3. Basic Input &amp; Assumptions'!$G$9="Yes",'7. CTI'!D71,"")</f>
        <v/>
      </c>
      <c r="J30" s="184">
        <f>IF('3. Basic Input &amp; Assumptions'!G12="Yes",'8. General Startup Costs'!$F$29,0)</f>
        <v>0</v>
      </c>
      <c r="K30" s="114"/>
    </row>
    <row r="31" spans="2:11">
      <c r="B31" s="94" t="s">
        <v>68</v>
      </c>
      <c r="C31" s="95">
        <f>IF(AND('3. Basic Input &amp; Assumptions'!$G$6="Yes",'3. Basic Input &amp; Assumptions'!$G$7="Yes",'3. Basic Input &amp; Assumptions'!$G$8="Yes",'3. Basic Input &amp; Assumptions'!$G$9="Yes"),'2b. Annual Total Budget Summary'!E31+'2b. Annual Total Budget Summary'!F31+'2b. Annual Total Budget Summary'!G31+'2b. Annual Total Budget Summary'!H31+'2b. Annual Total Budget Summary'!J31+'2b. Annual Total Budget Summary'!K31,IF(AND('3. Basic Input &amp; Assumptions'!$G$6="Yes",'3. Basic Input &amp; Assumptions'!$G$7="Yes",'3. Basic Input &amp; Assumptions'!$G$8="Yes",OR('3. Basic Input &amp; Assumptions'!$G$9="No",'3. Basic Input &amp; Assumptions'!$G$9="")),'2b. Annual Total Budget Summary'!E31+'2b. Annual Total Budget Summary'!F31+'2b. Annual Total Budget Summary'!G31+'2b. Annual Total Budget Summary'!J31+'2b. Annual Total Budget Summary'!K31,IF(AND('3. Basic Input &amp; Assumptions'!$G$6="Yes",'3. Basic Input &amp; Assumptions'!$G$7="Yes",OR('3. Basic Input &amp; Assumptions'!$G$8="No",'3. Basic Input &amp; Assumptions'!$G$8=""),OR('3. Basic Input &amp; Assumptions'!$G$9="No",'3. Basic Input &amp; Assumptions'!$G$9="")),'2b. Annual Total Budget Summary'!E31+'2b. Annual Total Budget Summary'!F31+'2b. Annual Total Budget Summary'!J31+'2b. Annual Total Budget Summary'!K31,IF(AND('3. Basic Input &amp; Assumptions'!$G$6="Yes",OR('3. Basic Input &amp; Assumptions'!$G$7="No",'3. Basic Input &amp; Assumptions'!$G$7=""),OR('3. Basic Input &amp; Assumptions'!$G$8="No",'3. Basic Input &amp; Assumptions'!$G$8=""),OR('3. Basic Input &amp; Assumptions'!$G$9="No",'3. Basic Input &amp; Assumptions'!$G$9="")),'2b. Annual Total Budget Summary'!E31+'2b. Annual Total Budget Summary'!J31+'2b. Annual Total Budget Summary'!K31,IF(AND('3. Basic Input &amp; Assumptions'!$G$6="Yes",OR('3. Basic Input &amp; Assumptions'!$G$7="No",'3. Basic Input &amp; Assumptions'!$G$7=""),'3. Basic Input &amp; Assumptions'!$G$8="Yes",'3. Basic Input &amp; Assumptions'!$G$9="Yes"),'2b. Annual Total Budget Summary'!E31+'2b. Annual Total Budget Summary'!G31+'2b. Annual Total Budget Summary'!H31+'2b. Annual Total Budget Summary'!J31+'2b. Annual Total Budget Summary'!K31,IF(AND('3. Basic Input &amp; Assumptions'!$G$6="Yes",OR('3. Basic Input &amp; Assumptions'!$G$7="No",'3. Basic Input &amp; Assumptions'!$G$7=""),'3. Basic Input &amp; Assumptions'!$G$8="Yes",OR('3. Basic Input &amp; Assumptions'!$G$9="No",'3. Basic Input &amp; Assumptions'!$G$9="")),'2b. Annual Total Budget Summary'!E31+'2b. Annual Total Budget Summary'!G31+'2b. Annual Total Budget Summary'!J31+'2b. Annual Total Budget Summary'!K31,IF(AND('3. Basic Input &amp; Assumptions'!$G$6="Yes",OR('3. Basic Input &amp; Assumptions'!$G$7="No",'3. Basic Input &amp; Assumptions'!$G$7=""),OR('3. Basic Input &amp; Assumptions'!$G$8="No",'3. Basic Input &amp; Assumptions'!$G$8=""),'3. Basic Input &amp; Assumptions'!$G$9="Yes"),'2b. Annual Total Budget Summary'!E31+'2b. Annual Total Budget Summary'!H31+'2b. Annual Total Budget Summary'!J31+'2b. Annual Total Budget Summary'!K31,IF(AND('3. Basic Input &amp; Assumptions'!$G$6="Yes",'3. Basic Input &amp; Assumptions'!$G$7="Yes",OR('3. Basic Input &amp; Assumptions'!$G$8="No",'3. Basic Input &amp; Assumptions'!$G$8=""),'3. Basic Input &amp; Assumptions'!$G$9="Yes"),'2b. Annual Total Budget Summary'!E31+'2b. Annual Total Budget Summary'!F31+'2b. Annual Total Budget Summary'!H31+'2b. Annual Total Budget Summary'!J31+'2b. Annual Total Budget Summary'!K31,IF(AND(OR('3. Basic Input &amp; Assumptions'!$G$6="No",'3. Basic Input &amp; Assumptions'!$G$6=""),'3. Basic Input &amp; Assumptions'!$G$7="Yes",'3. Basic Input &amp; Assumptions'!$G$8="Yes",'3. Basic Input &amp; Assumptions'!$G$9="Yes"),'2b. Annual Total Budget Summary'!F31+'2b. Annual Total Budget Summary'!G31+'2b. Annual Total Budget Summary'!H31+'2b. Annual Total Budget Summary'!J31+'2b. Annual Total Budget Summary'!K31,IF(AND(OR('3. Basic Input &amp; Assumptions'!$G$6="No",'3. Basic Input &amp; Assumptions'!$G$6=""),'3. Basic Input &amp; Assumptions'!$G$7="Yes",'3. Basic Input &amp; Assumptions'!$G$8="Yes",OR('3. Basic Input &amp; Assumptions'!$G$9="No",'3. Basic Input &amp; Assumptions'!$G$9="")),'2b. Annual Total Budget Summary'!F31+'2b. Annual Total Budget Summary'!G31+'2b. Annual Total Budget Summary'!J31+'2b. Annual Total Budget Summary'!K31,IF(AND(OR('3. Basic Input &amp; Assumptions'!$G$6="No",'3. Basic Input &amp; Assumptions'!$G$6=""),'3. Basic Input &amp; Assumptions'!$G$7="Yes",OR('3. Basic Input &amp; Assumptions'!$G$8="No",'3. Basic Input &amp; Assumptions'!$G$8=""),'3. Basic Input &amp; Assumptions'!$G$9="Yes"),'2b. Annual Total Budget Summary'!F31+'2b. Annual Total Budget Summary'!H31+'2b. Annual Total Budget Summary'!J31+'2b. Annual Total Budget Summary'!K31,IF(AND(OR('3. Basic Input &amp; Assumptions'!$G$6="No",'3. Basic Input &amp; Assumptions'!$G$6=""),'3. Basic Input &amp; Assumptions'!$G$7="Yes",OR('3. Basic Input &amp; Assumptions'!$G$8="No",'3. Basic Input &amp; Assumptions'!$G$8=""),OR('3. Basic Input &amp; Assumptions'!$G$9="No",'3. Basic Input &amp; Assumptions'!$G$9="")),'2b. Annual Total Budget Summary'!F31+'2b. Annual Total Budget Summary'!J31+'2b. Annual Total Budget Summary'!K31,IF(AND(OR('3. Basic Input &amp; Assumptions'!$G$6="No",'3. Basic Input &amp; Assumptions'!$G$6=""),OR('3. Basic Input &amp; Assumptions'!$G$7="No",'3. Basic Input &amp; Assumptions'!$G$7=""),'3. Basic Input &amp; Assumptions'!$G$8="Yes",OR('3. Basic Input &amp; Assumptions'!$G$9="No",'3. Basic Input &amp; Assumptions'!$G$9="")),'2b. Annual Total Budget Summary'!G31+'2b. Annual Total Budget Summary'!J31+'2b. Annual Total Budget Summary'!K31,IF(AND(OR('3. Basic Input &amp; Assumptions'!$G$6="No",'3. Basic Input &amp; Assumptions'!$G$6=""),OR('3. Basic Input &amp; Assumptions'!$G$7="No",'3. Basic Input &amp; Assumptions'!$G$7=""),'3. Basic Input &amp; Assumptions'!$G$8="Yes",'3. Basic Input &amp; Assumptions'!$G$9="Yes"),'2b. Annual Total Budget Summary'!G31+'2b. Annual Total Budget Summary'!H31+'2b. Annual Total Budget Summary'!J31+'2b. Annual Total Budget Summary'!K31,IF(AND(OR('3. Basic Input &amp; Assumptions'!$G$6="No",'3. Basic Input &amp; Assumptions'!$G$6=""),OR('3. Basic Input &amp; Assumptions'!$G$7="No",'3. Basic Input &amp; Assumptions'!$G$7=""),OR('3. Basic Input &amp; Assumptions'!$G$8="No",'3. Basic Input &amp; Assumptions'!$G$8=""),'3. Basic Input &amp; Assumptions'!$G$9="Yes"),'2b. Annual Total Budget Summary'!H31+'2b. Annual Total Budget Summary'!J31+'2b. Annual Total Budget Summary'!K31,0)))))))))))))))</f>
        <v>0</v>
      </c>
      <c r="E31" s="215" t="str">
        <f>IF('3. Basic Input &amp; Assumptions'!$G$6="Yes",'4. ACT'!D72,"")</f>
        <v/>
      </c>
      <c r="F31" s="95" t="str">
        <f>IF('3. Basic Input &amp; Assumptions'!$G$7="Yes",'5. ICM'!D84,"")</f>
        <v/>
      </c>
      <c r="G31" s="99" t="str">
        <f>IF('3. Basic Input &amp; Assumptions'!$G$8="Yes",'6. TSS'!D77,"")</f>
        <v/>
      </c>
      <c r="H31" s="99" t="str">
        <f>IF('3. Basic Input &amp; Assumptions'!$G$9="Yes",'7. CTI'!D72,"")</f>
        <v/>
      </c>
      <c r="J31" s="184">
        <f>IF('3. Basic Input &amp; Assumptions'!G12="Yes",'8. General Startup Costs'!$F$30,0)</f>
        <v>0</v>
      </c>
      <c r="K31" s="114"/>
    </row>
    <row r="32" spans="2:11">
      <c r="B32" s="94" t="s">
        <v>69</v>
      </c>
      <c r="C32" s="95">
        <f>IF(AND('3. Basic Input &amp; Assumptions'!$G$6="Yes",'3. Basic Input &amp; Assumptions'!$G$7="Yes",'3. Basic Input &amp; Assumptions'!$G$8="Yes",'3. Basic Input &amp; Assumptions'!$G$9="Yes"),'2b. Annual Total Budget Summary'!E32+'2b. Annual Total Budget Summary'!F32+'2b. Annual Total Budget Summary'!G32+'2b. Annual Total Budget Summary'!H32+'2b. Annual Total Budget Summary'!J32+'2b. Annual Total Budget Summary'!K32,IF(AND('3. Basic Input &amp; Assumptions'!$G$6="Yes",'3. Basic Input &amp; Assumptions'!$G$7="Yes",'3. Basic Input &amp; Assumptions'!$G$8="Yes",OR('3. Basic Input &amp; Assumptions'!$G$9="No",'3. Basic Input &amp; Assumptions'!$G$9="")),'2b. Annual Total Budget Summary'!E32+'2b. Annual Total Budget Summary'!F32+'2b. Annual Total Budget Summary'!G32+'2b. Annual Total Budget Summary'!J32+'2b. Annual Total Budget Summary'!K32,IF(AND('3. Basic Input &amp; Assumptions'!$G$6="Yes",'3. Basic Input &amp; Assumptions'!$G$7="Yes",OR('3. Basic Input &amp; Assumptions'!$G$8="No",'3. Basic Input &amp; Assumptions'!$G$8=""),OR('3. Basic Input &amp; Assumptions'!$G$9="No",'3. Basic Input &amp; Assumptions'!$G$9="")),'2b. Annual Total Budget Summary'!E32+'2b. Annual Total Budget Summary'!F32+'2b. Annual Total Budget Summary'!J32+'2b. Annual Total Budget Summary'!K32,IF(AND('3. Basic Input &amp; Assumptions'!$G$6="Yes",OR('3. Basic Input &amp; Assumptions'!$G$7="No",'3. Basic Input &amp; Assumptions'!$G$7=""),OR('3. Basic Input &amp; Assumptions'!$G$8="No",'3. Basic Input &amp; Assumptions'!$G$8=""),OR('3. Basic Input &amp; Assumptions'!$G$9="No",'3. Basic Input &amp; Assumptions'!$G$9="")),'2b. Annual Total Budget Summary'!E32+'2b. Annual Total Budget Summary'!J32+'2b. Annual Total Budget Summary'!K32,IF(AND('3. Basic Input &amp; Assumptions'!$G$6="Yes",OR('3. Basic Input &amp; Assumptions'!$G$7="No",'3. Basic Input &amp; Assumptions'!$G$7=""),'3. Basic Input &amp; Assumptions'!$G$8="Yes",'3. Basic Input &amp; Assumptions'!$G$9="Yes"),'2b. Annual Total Budget Summary'!E32+'2b. Annual Total Budget Summary'!G32+'2b. Annual Total Budget Summary'!H32+'2b. Annual Total Budget Summary'!J32+'2b. Annual Total Budget Summary'!K32,IF(AND('3. Basic Input &amp; Assumptions'!$G$6="Yes",OR('3. Basic Input &amp; Assumptions'!$G$7="No",'3. Basic Input &amp; Assumptions'!$G$7=""),'3. Basic Input &amp; Assumptions'!$G$8="Yes",OR('3. Basic Input &amp; Assumptions'!$G$9="No",'3. Basic Input &amp; Assumptions'!$G$9="")),'2b. Annual Total Budget Summary'!E32+'2b. Annual Total Budget Summary'!G32+'2b. Annual Total Budget Summary'!J32+'2b. Annual Total Budget Summary'!K32,IF(AND('3. Basic Input &amp; Assumptions'!$G$6="Yes",OR('3. Basic Input &amp; Assumptions'!$G$7="No",'3. Basic Input &amp; Assumptions'!$G$7=""),OR('3. Basic Input &amp; Assumptions'!$G$8="No",'3. Basic Input &amp; Assumptions'!$G$8=""),'3. Basic Input &amp; Assumptions'!$G$9="Yes"),'2b. Annual Total Budget Summary'!E32+'2b. Annual Total Budget Summary'!H32+'2b. Annual Total Budget Summary'!J32+'2b. Annual Total Budget Summary'!K32,IF(AND('3. Basic Input &amp; Assumptions'!$G$6="Yes",'3. Basic Input &amp; Assumptions'!$G$7="Yes",OR('3. Basic Input &amp; Assumptions'!$G$8="No",'3. Basic Input &amp; Assumptions'!$G$8=""),'3. Basic Input &amp; Assumptions'!$G$9="Yes"),'2b. Annual Total Budget Summary'!E32+'2b. Annual Total Budget Summary'!F32+'2b. Annual Total Budget Summary'!H32+'2b. Annual Total Budget Summary'!J32+'2b. Annual Total Budget Summary'!K32,IF(AND(OR('3. Basic Input &amp; Assumptions'!$G$6="No",'3. Basic Input &amp; Assumptions'!$G$6=""),'3. Basic Input &amp; Assumptions'!$G$7="Yes",'3. Basic Input &amp; Assumptions'!$G$8="Yes",'3. Basic Input &amp; Assumptions'!$G$9="Yes"),'2b. Annual Total Budget Summary'!F32+'2b. Annual Total Budget Summary'!G32+'2b. Annual Total Budget Summary'!H32+'2b. Annual Total Budget Summary'!J32+'2b. Annual Total Budget Summary'!K32,IF(AND(OR('3. Basic Input &amp; Assumptions'!$G$6="No",'3. Basic Input &amp; Assumptions'!$G$6=""),'3. Basic Input &amp; Assumptions'!$G$7="Yes",'3. Basic Input &amp; Assumptions'!$G$8="Yes",OR('3. Basic Input &amp; Assumptions'!$G$9="No",'3. Basic Input &amp; Assumptions'!$G$9="")),'2b. Annual Total Budget Summary'!F32+'2b. Annual Total Budget Summary'!G32+'2b. Annual Total Budget Summary'!J32+'2b. Annual Total Budget Summary'!K32,IF(AND(OR('3. Basic Input &amp; Assumptions'!$G$6="No",'3. Basic Input &amp; Assumptions'!$G$6=""),'3. Basic Input &amp; Assumptions'!$G$7="Yes",OR('3. Basic Input &amp; Assumptions'!$G$8="No",'3. Basic Input &amp; Assumptions'!$G$8=""),'3. Basic Input &amp; Assumptions'!$G$9="Yes"),'2b. Annual Total Budget Summary'!F32+'2b. Annual Total Budget Summary'!H32+'2b. Annual Total Budget Summary'!J32+'2b. Annual Total Budget Summary'!K32,IF(AND(OR('3. Basic Input &amp; Assumptions'!$G$6="No",'3. Basic Input &amp; Assumptions'!$G$6=""),'3. Basic Input &amp; Assumptions'!$G$7="Yes",OR('3. Basic Input &amp; Assumptions'!$G$8="No",'3. Basic Input &amp; Assumptions'!$G$8=""),OR('3. Basic Input &amp; Assumptions'!$G$9="No",'3. Basic Input &amp; Assumptions'!$G$9="")),'2b. Annual Total Budget Summary'!F32+'2b. Annual Total Budget Summary'!J32+'2b. Annual Total Budget Summary'!K32,IF(AND(OR('3. Basic Input &amp; Assumptions'!$G$6="No",'3. Basic Input &amp; Assumptions'!$G$6=""),OR('3. Basic Input &amp; Assumptions'!$G$7="No",'3. Basic Input &amp; Assumptions'!$G$7=""),'3. Basic Input &amp; Assumptions'!$G$8="Yes",OR('3. Basic Input &amp; Assumptions'!$G$9="No",'3. Basic Input &amp; Assumptions'!$G$9="")),'2b. Annual Total Budget Summary'!G32+'2b. Annual Total Budget Summary'!J32+'2b. Annual Total Budget Summary'!K32,IF(AND(OR('3. Basic Input &amp; Assumptions'!$G$6="No",'3. Basic Input &amp; Assumptions'!$G$6=""),OR('3. Basic Input &amp; Assumptions'!$G$7="No",'3. Basic Input &amp; Assumptions'!$G$7=""),'3. Basic Input &amp; Assumptions'!$G$8="Yes",'3. Basic Input &amp; Assumptions'!$G$9="Yes"),'2b. Annual Total Budget Summary'!G32+'2b. Annual Total Budget Summary'!H32+'2b. Annual Total Budget Summary'!J32+'2b. Annual Total Budget Summary'!K32,IF(AND(OR('3. Basic Input &amp; Assumptions'!$G$6="No",'3. Basic Input &amp; Assumptions'!$G$6=""),OR('3. Basic Input &amp; Assumptions'!$G$7="No",'3. Basic Input &amp; Assumptions'!$G$7=""),OR('3. Basic Input &amp; Assumptions'!$G$8="No",'3. Basic Input &amp; Assumptions'!$G$8=""),'3. Basic Input &amp; Assumptions'!$G$9="Yes"),'2b. Annual Total Budget Summary'!H32+'2b. Annual Total Budget Summary'!J32+'2b. Annual Total Budget Summary'!K32,0)))))))))))))))</f>
        <v>0</v>
      </c>
      <c r="E32" s="215" t="str">
        <f>IF('3. Basic Input &amp; Assumptions'!$G$6="Yes",'4. ACT'!D73,"")</f>
        <v/>
      </c>
      <c r="F32" s="95" t="str">
        <f>IF('3. Basic Input &amp; Assumptions'!$G$7="Yes",'5. ICM'!D85,"")</f>
        <v/>
      </c>
      <c r="G32" s="99" t="str">
        <f>IF('3. Basic Input &amp; Assumptions'!$G$8="Yes",'6. TSS'!D78,"")</f>
        <v/>
      </c>
      <c r="H32" s="99" t="str">
        <f>IF('3. Basic Input &amp; Assumptions'!$G$9="Yes",'7. CTI'!D73,"")</f>
        <v/>
      </c>
      <c r="J32" s="183"/>
      <c r="K32" s="114"/>
    </row>
    <row r="33" spans="2:11">
      <c r="B33" s="94" t="s">
        <v>70</v>
      </c>
      <c r="C33" s="95">
        <f>IF(AND('3. Basic Input &amp; Assumptions'!$G$6="Yes",'3. Basic Input &amp; Assumptions'!$G$7="Yes",'3. Basic Input &amp; Assumptions'!$G$8="Yes",'3. Basic Input &amp; Assumptions'!$G$9="Yes"),'2b. Annual Total Budget Summary'!E33+'2b. Annual Total Budget Summary'!F33+'2b. Annual Total Budget Summary'!G33+'2b. Annual Total Budget Summary'!H33+'2b. Annual Total Budget Summary'!J33+'2b. Annual Total Budget Summary'!K33,IF(AND('3. Basic Input &amp; Assumptions'!$G$6="Yes",'3. Basic Input &amp; Assumptions'!$G$7="Yes",'3. Basic Input &amp; Assumptions'!$G$8="Yes",OR('3. Basic Input &amp; Assumptions'!$G$9="No",'3. Basic Input &amp; Assumptions'!$G$9="")),'2b. Annual Total Budget Summary'!E33+'2b. Annual Total Budget Summary'!F33+'2b. Annual Total Budget Summary'!G33+'2b. Annual Total Budget Summary'!J33+'2b. Annual Total Budget Summary'!K33,IF(AND('3. Basic Input &amp; Assumptions'!$G$6="Yes",'3. Basic Input &amp; Assumptions'!$G$7="Yes",OR('3. Basic Input &amp; Assumptions'!$G$8="No",'3. Basic Input &amp; Assumptions'!$G$8=""),OR('3. Basic Input &amp; Assumptions'!$G$9="No",'3. Basic Input &amp; Assumptions'!$G$9="")),'2b. Annual Total Budget Summary'!E33+'2b. Annual Total Budget Summary'!F33+'2b. Annual Total Budget Summary'!J33+'2b. Annual Total Budget Summary'!K33,IF(AND('3. Basic Input &amp; Assumptions'!$G$6="Yes",OR('3. Basic Input &amp; Assumptions'!$G$7="No",'3. Basic Input &amp; Assumptions'!$G$7=""),OR('3. Basic Input &amp; Assumptions'!$G$8="No",'3. Basic Input &amp; Assumptions'!$G$8=""),OR('3. Basic Input &amp; Assumptions'!$G$9="No",'3. Basic Input &amp; Assumptions'!$G$9="")),'2b. Annual Total Budget Summary'!E33+'2b. Annual Total Budget Summary'!J33+'2b. Annual Total Budget Summary'!K33,IF(AND('3. Basic Input &amp; Assumptions'!$G$6="Yes",OR('3. Basic Input &amp; Assumptions'!$G$7="No",'3. Basic Input &amp; Assumptions'!$G$7=""),'3. Basic Input &amp; Assumptions'!$G$8="Yes",'3. Basic Input &amp; Assumptions'!$G$9="Yes"),'2b. Annual Total Budget Summary'!E33+'2b. Annual Total Budget Summary'!G33+'2b. Annual Total Budget Summary'!H33+'2b. Annual Total Budget Summary'!J33+'2b. Annual Total Budget Summary'!K33,IF(AND('3. Basic Input &amp; Assumptions'!$G$6="Yes",OR('3. Basic Input &amp; Assumptions'!$G$7="No",'3. Basic Input &amp; Assumptions'!$G$7=""),'3. Basic Input &amp; Assumptions'!$G$8="Yes",OR('3. Basic Input &amp; Assumptions'!$G$9="No",'3. Basic Input &amp; Assumptions'!$G$9="")),'2b. Annual Total Budget Summary'!E33+'2b. Annual Total Budget Summary'!G33+'2b. Annual Total Budget Summary'!J33+'2b. Annual Total Budget Summary'!K33,IF(AND('3. Basic Input &amp; Assumptions'!$G$6="Yes",OR('3. Basic Input &amp; Assumptions'!$G$7="No",'3. Basic Input &amp; Assumptions'!$G$7=""),OR('3. Basic Input &amp; Assumptions'!$G$8="No",'3. Basic Input &amp; Assumptions'!$G$8=""),'3. Basic Input &amp; Assumptions'!$G$9="Yes"),'2b. Annual Total Budget Summary'!E33+'2b. Annual Total Budget Summary'!H33+'2b. Annual Total Budget Summary'!J33+'2b. Annual Total Budget Summary'!K33,IF(AND('3. Basic Input &amp; Assumptions'!$G$6="Yes",'3. Basic Input &amp; Assumptions'!$G$7="Yes",OR('3. Basic Input &amp; Assumptions'!$G$8="No",'3. Basic Input &amp; Assumptions'!$G$8=""),'3. Basic Input &amp; Assumptions'!$G$9="Yes"),'2b. Annual Total Budget Summary'!E33+'2b. Annual Total Budget Summary'!F33+'2b. Annual Total Budget Summary'!H33+'2b. Annual Total Budget Summary'!J33+'2b. Annual Total Budget Summary'!K33,IF(AND(OR('3. Basic Input &amp; Assumptions'!$G$6="No",'3. Basic Input &amp; Assumptions'!$G$6=""),'3. Basic Input &amp; Assumptions'!$G$7="Yes",'3. Basic Input &amp; Assumptions'!$G$8="Yes",'3. Basic Input &amp; Assumptions'!$G$9="Yes"),'2b. Annual Total Budget Summary'!F33+'2b. Annual Total Budget Summary'!G33+'2b. Annual Total Budget Summary'!H33+'2b. Annual Total Budget Summary'!J33+'2b. Annual Total Budget Summary'!K33,IF(AND(OR('3. Basic Input &amp; Assumptions'!$G$6="No",'3. Basic Input &amp; Assumptions'!$G$6=""),'3. Basic Input &amp; Assumptions'!$G$7="Yes",'3. Basic Input &amp; Assumptions'!$G$8="Yes",OR('3. Basic Input &amp; Assumptions'!$G$9="No",'3. Basic Input &amp; Assumptions'!$G$9="")),'2b. Annual Total Budget Summary'!F33+'2b. Annual Total Budget Summary'!G33+'2b. Annual Total Budget Summary'!J33+'2b. Annual Total Budget Summary'!K33,IF(AND(OR('3. Basic Input &amp; Assumptions'!$G$6="No",'3. Basic Input &amp; Assumptions'!$G$6=""),'3. Basic Input &amp; Assumptions'!$G$7="Yes",OR('3. Basic Input &amp; Assumptions'!$G$8="No",'3. Basic Input &amp; Assumptions'!$G$8=""),'3. Basic Input &amp; Assumptions'!$G$9="Yes"),'2b. Annual Total Budget Summary'!F33+'2b. Annual Total Budget Summary'!H33+'2b. Annual Total Budget Summary'!J33+'2b. Annual Total Budget Summary'!K33,IF(AND(OR('3. Basic Input &amp; Assumptions'!$G$6="No",'3. Basic Input &amp; Assumptions'!$G$6=""),'3. Basic Input &amp; Assumptions'!$G$7="Yes",OR('3. Basic Input &amp; Assumptions'!$G$8="No",'3. Basic Input &amp; Assumptions'!$G$8=""),OR('3. Basic Input &amp; Assumptions'!$G$9="No",'3. Basic Input &amp; Assumptions'!$G$9="")),'2b. Annual Total Budget Summary'!F33+'2b. Annual Total Budget Summary'!J33+'2b. Annual Total Budget Summary'!K33,IF(AND(OR('3. Basic Input &amp; Assumptions'!$G$6="No",'3. Basic Input &amp; Assumptions'!$G$6=""),OR('3. Basic Input &amp; Assumptions'!$G$7="No",'3. Basic Input &amp; Assumptions'!$G$7=""),'3. Basic Input &amp; Assumptions'!$G$8="Yes",OR('3. Basic Input &amp; Assumptions'!$G$9="No",'3. Basic Input &amp; Assumptions'!$G$9="")),'2b. Annual Total Budget Summary'!G33+'2b. Annual Total Budget Summary'!J33+'2b. Annual Total Budget Summary'!K33,IF(AND(OR('3. Basic Input &amp; Assumptions'!$G$6="No",'3. Basic Input &amp; Assumptions'!$G$6=""),OR('3. Basic Input &amp; Assumptions'!$G$7="No",'3. Basic Input &amp; Assumptions'!$G$7=""),'3. Basic Input &amp; Assumptions'!$G$8="Yes",'3. Basic Input &amp; Assumptions'!$G$9="Yes"),'2b. Annual Total Budget Summary'!G33+'2b. Annual Total Budget Summary'!H33+'2b. Annual Total Budget Summary'!J33+'2b. Annual Total Budget Summary'!K33,IF(AND(OR('3. Basic Input &amp; Assumptions'!$G$6="No",'3. Basic Input &amp; Assumptions'!$G$6=""),OR('3. Basic Input &amp; Assumptions'!$G$7="No",'3. Basic Input &amp; Assumptions'!$G$7=""),OR('3. Basic Input &amp; Assumptions'!$G$8="No",'3. Basic Input &amp; Assumptions'!$G$8=""),'3. Basic Input &amp; Assumptions'!$G$9="Yes"),'2b. Annual Total Budget Summary'!H33+'2b. Annual Total Budget Summary'!J33+'2b. Annual Total Budget Summary'!K33,0)))))))))))))))</f>
        <v>0</v>
      </c>
      <c r="E33" s="215" t="str">
        <f>IF('3. Basic Input &amp; Assumptions'!$G$6="Yes",'4. ACT'!D74,"")</f>
        <v/>
      </c>
      <c r="F33" s="95" t="str">
        <f>IF('3. Basic Input &amp; Assumptions'!$G$7="Yes",'5. ICM'!D86,"")</f>
        <v/>
      </c>
      <c r="G33" s="99" t="str">
        <f>IF('3. Basic Input &amp; Assumptions'!$G$8="Yes",'6. TSS'!D79,"")</f>
        <v/>
      </c>
      <c r="H33" s="99" t="str">
        <f>IF('3. Basic Input &amp; Assumptions'!$G$9="Yes",'7. CTI'!D74,"")</f>
        <v/>
      </c>
      <c r="J33" s="183"/>
      <c r="K33" s="114"/>
    </row>
    <row r="34" spans="2:11">
      <c r="B34" s="94" t="s">
        <v>71</v>
      </c>
      <c r="C34" s="95">
        <f>IF(AND('3. Basic Input &amp; Assumptions'!$G$6="Yes",'3. Basic Input &amp; Assumptions'!$G$7="Yes",'3. Basic Input &amp; Assumptions'!$G$8="Yes",'3. Basic Input &amp; Assumptions'!$G$9="Yes"),'2b. Annual Total Budget Summary'!E34+'2b. Annual Total Budget Summary'!F34+'2b. Annual Total Budget Summary'!G34+'2b. Annual Total Budget Summary'!H34+'2b. Annual Total Budget Summary'!J34+'2b. Annual Total Budget Summary'!K34,IF(AND('3. Basic Input &amp; Assumptions'!$G$6="Yes",'3. Basic Input &amp; Assumptions'!$G$7="Yes",'3. Basic Input &amp; Assumptions'!$G$8="Yes",OR('3. Basic Input &amp; Assumptions'!$G$9="No",'3. Basic Input &amp; Assumptions'!$G$9="")),'2b. Annual Total Budget Summary'!E34+'2b. Annual Total Budget Summary'!F34+'2b. Annual Total Budget Summary'!G34+'2b. Annual Total Budget Summary'!J34+'2b. Annual Total Budget Summary'!K34,IF(AND('3. Basic Input &amp; Assumptions'!$G$6="Yes",'3. Basic Input &amp; Assumptions'!$G$7="Yes",OR('3. Basic Input &amp; Assumptions'!$G$8="No",'3. Basic Input &amp; Assumptions'!$G$8=""),OR('3. Basic Input &amp; Assumptions'!$G$9="No",'3. Basic Input &amp; Assumptions'!$G$9="")),'2b. Annual Total Budget Summary'!E34+'2b. Annual Total Budget Summary'!F34+'2b. Annual Total Budget Summary'!J34+'2b. Annual Total Budget Summary'!K34,IF(AND('3. Basic Input &amp; Assumptions'!$G$6="Yes",OR('3. Basic Input &amp; Assumptions'!$G$7="No",'3. Basic Input &amp; Assumptions'!$G$7=""),OR('3. Basic Input &amp; Assumptions'!$G$8="No",'3. Basic Input &amp; Assumptions'!$G$8=""),OR('3. Basic Input &amp; Assumptions'!$G$9="No",'3. Basic Input &amp; Assumptions'!$G$9="")),'2b. Annual Total Budget Summary'!E34+'2b. Annual Total Budget Summary'!J34+'2b. Annual Total Budget Summary'!K34,IF(AND('3. Basic Input &amp; Assumptions'!$G$6="Yes",OR('3. Basic Input &amp; Assumptions'!$G$7="No",'3. Basic Input &amp; Assumptions'!$G$7=""),'3. Basic Input &amp; Assumptions'!$G$8="Yes",'3. Basic Input &amp; Assumptions'!$G$9="Yes"),'2b. Annual Total Budget Summary'!E34+'2b. Annual Total Budget Summary'!G34+'2b. Annual Total Budget Summary'!H34+'2b. Annual Total Budget Summary'!J34+'2b. Annual Total Budget Summary'!K34,IF(AND('3. Basic Input &amp; Assumptions'!$G$6="Yes",OR('3. Basic Input &amp; Assumptions'!$G$7="No",'3. Basic Input &amp; Assumptions'!$G$7=""),'3. Basic Input &amp; Assumptions'!$G$8="Yes",OR('3. Basic Input &amp; Assumptions'!$G$9="No",'3. Basic Input &amp; Assumptions'!$G$9="")),'2b. Annual Total Budget Summary'!E34+'2b. Annual Total Budget Summary'!G34+'2b. Annual Total Budget Summary'!J34+'2b. Annual Total Budget Summary'!K34,IF(AND('3. Basic Input &amp; Assumptions'!$G$6="Yes",OR('3. Basic Input &amp; Assumptions'!$G$7="No",'3. Basic Input &amp; Assumptions'!$G$7=""),OR('3. Basic Input &amp; Assumptions'!$G$8="No",'3. Basic Input &amp; Assumptions'!$G$8=""),'3. Basic Input &amp; Assumptions'!$G$9="Yes"),'2b. Annual Total Budget Summary'!E34+'2b. Annual Total Budget Summary'!H34+'2b. Annual Total Budget Summary'!J34+'2b. Annual Total Budget Summary'!K34,IF(AND('3. Basic Input &amp; Assumptions'!$G$6="Yes",'3. Basic Input &amp; Assumptions'!$G$7="Yes",OR('3. Basic Input &amp; Assumptions'!$G$8="No",'3. Basic Input &amp; Assumptions'!$G$8=""),'3. Basic Input &amp; Assumptions'!$G$9="Yes"),'2b. Annual Total Budget Summary'!E34+'2b. Annual Total Budget Summary'!F34+'2b. Annual Total Budget Summary'!H34+'2b. Annual Total Budget Summary'!J34+'2b. Annual Total Budget Summary'!K34,IF(AND(OR('3. Basic Input &amp; Assumptions'!$G$6="No",'3. Basic Input &amp; Assumptions'!$G$6=""),'3. Basic Input &amp; Assumptions'!$G$7="Yes",'3. Basic Input &amp; Assumptions'!$G$8="Yes",'3. Basic Input &amp; Assumptions'!$G$9="Yes"),'2b. Annual Total Budget Summary'!F34+'2b. Annual Total Budget Summary'!G34+'2b. Annual Total Budget Summary'!H34+'2b. Annual Total Budget Summary'!J34+'2b. Annual Total Budget Summary'!K34,IF(AND(OR('3. Basic Input &amp; Assumptions'!$G$6="No",'3. Basic Input &amp; Assumptions'!$G$6=""),'3. Basic Input &amp; Assumptions'!$G$7="Yes",'3. Basic Input &amp; Assumptions'!$G$8="Yes",OR('3. Basic Input &amp; Assumptions'!$G$9="No",'3. Basic Input &amp; Assumptions'!$G$9="")),'2b. Annual Total Budget Summary'!F34+'2b. Annual Total Budget Summary'!G34+'2b. Annual Total Budget Summary'!J34+'2b. Annual Total Budget Summary'!K34,IF(AND(OR('3. Basic Input &amp; Assumptions'!$G$6="No",'3. Basic Input &amp; Assumptions'!$G$6=""),'3. Basic Input &amp; Assumptions'!$G$7="Yes",OR('3. Basic Input &amp; Assumptions'!$G$8="No",'3. Basic Input &amp; Assumptions'!$G$8=""),'3. Basic Input &amp; Assumptions'!$G$9="Yes"),'2b. Annual Total Budget Summary'!F34+'2b. Annual Total Budget Summary'!H34+'2b. Annual Total Budget Summary'!J34+'2b. Annual Total Budget Summary'!K34,IF(AND(OR('3. Basic Input &amp; Assumptions'!$G$6="No",'3. Basic Input &amp; Assumptions'!$G$6=""),'3. Basic Input &amp; Assumptions'!$G$7="Yes",OR('3. Basic Input &amp; Assumptions'!$G$8="No",'3. Basic Input &amp; Assumptions'!$G$8=""),OR('3. Basic Input &amp; Assumptions'!$G$9="No",'3. Basic Input &amp; Assumptions'!$G$9="")),'2b. Annual Total Budget Summary'!F34+'2b. Annual Total Budget Summary'!J34+'2b. Annual Total Budget Summary'!K34,IF(AND(OR('3. Basic Input &amp; Assumptions'!$G$6="No",'3. Basic Input &amp; Assumptions'!$G$6=""),OR('3. Basic Input &amp; Assumptions'!$G$7="No",'3. Basic Input &amp; Assumptions'!$G$7=""),'3. Basic Input &amp; Assumptions'!$G$8="Yes",OR('3. Basic Input &amp; Assumptions'!$G$9="No",'3. Basic Input &amp; Assumptions'!$G$9="")),'2b. Annual Total Budget Summary'!G34+'2b. Annual Total Budget Summary'!J34+'2b. Annual Total Budget Summary'!K34,IF(AND(OR('3. Basic Input &amp; Assumptions'!$G$6="No",'3. Basic Input &amp; Assumptions'!$G$6=""),OR('3. Basic Input &amp; Assumptions'!$G$7="No",'3. Basic Input &amp; Assumptions'!$G$7=""),'3. Basic Input &amp; Assumptions'!$G$8="Yes",'3. Basic Input &amp; Assumptions'!$G$9="Yes"),'2b. Annual Total Budget Summary'!G34+'2b. Annual Total Budget Summary'!H34+'2b. Annual Total Budget Summary'!J34+'2b. Annual Total Budget Summary'!K34,IF(AND(OR('3. Basic Input &amp; Assumptions'!$G$6="No",'3. Basic Input &amp; Assumptions'!$G$6=""),OR('3. Basic Input &amp; Assumptions'!$G$7="No",'3. Basic Input &amp; Assumptions'!$G$7=""),OR('3. Basic Input &amp; Assumptions'!$G$8="No",'3. Basic Input &amp; Assumptions'!$G$8=""),'3. Basic Input &amp; Assumptions'!$G$9="Yes"),'2b. Annual Total Budget Summary'!H34+'2b. Annual Total Budget Summary'!J34+'2b. Annual Total Budget Summary'!K34,0)))))))))))))))</f>
        <v>0</v>
      </c>
      <c r="E34" s="215" t="str">
        <f>IF('3. Basic Input &amp; Assumptions'!$G$6="Yes",'4. ACT'!D75,"")</f>
        <v/>
      </c>
      <c r="F34" s="95" t="str">
        <f>IF('3. Basic Input &amp; Assumptions'!$G$7="Yes",'5. ICM'!D87,"")</f>
        <v/>
      </c>
      <c r="G34" s="99" t="str">
        <f>IF('3. Basic Input &amp; Assumptions'!$G$8="Yes",'6. TSS'!D80,"")</f>
        <v/>
      </c>
      <c r="H34" s="99" t="str">
        <f>IF('3. Basic Input &amp; Assumptions'!$G$9="Yes",'7. CTI'!D75,"")</f>
        <v/>
      </c>
      <c r="J34" s="184">
        <f>IF('3. Basic Input &amp; Assumptions'!G12="Yes",'8. General Startup Costs'!$F$31,0)</f>
        <v>0</v>
      </c>
      <c r="K34" s="114"/>
    </row>
    <row r="35" spans="2:11" ht="47.25">
      <c r="B35" s="94" t="s">
        <v>72</v>
      </c>
      <c r="C35" s="95">
        <f>IF(AND('3. Basic Input &amp; Assumptions'!$G$6="Yes",'3. Basic Input &amp; Assumptions'!$G$7="Yes",'3. Basic Input &amp; Assumptions'!$G$8="Yes",'3. Basic Input &amp; Assumptions'!$G$9="Yes"),'2b. Annual Total Budget Summary'!E35+'2b. Annual Total Budget Summary'!F35+'2b. Annual Total Budget Summary'!G35+'2b. Annual Total Budget Summary'!H35+'2b. Annual Total Budget Summary'!J35+'2b. Annual Total Budget Summary'!K35,IF(AND('3. Basic Input &amp; Assumptions'!$G$6="Yes",'3. Basic Input &amp; Assumptions'!$G$7="Yes",'3. Basic Input &amp; Assumptions'!$G$8="Yes",OR('3. Basic Input &amp; Assumptions'!$G$9="No",'3. Basic Input &amp; Assumptions'!$G$9="")),'2b. Annual Total Budget Summary'!E35+'2b. Annual Total Budget Summary'!F35+'2b. Annual Total Budget Summary'!G35+'2b. Annual Total Budget Summary'!J35+'2b. Annual Total Budget Summary'!K35,IF(AND('3. Basic Input &amp; Assumptions'!$G$6="Yes",'3. Basic Input &amp; Assumptions'!$G$7="Yes",OR('3. Basic Input &amp; Assumptions'!$G$8="No",'3. Basic Input &amp; Assumptions'!$G$8=""),OR('3. Basic Input &amp; Assumptions'!$G$9="No",'3. Basic Input &amp; Assumptions'!$G$9="")),'2b. Annual Total Budget Summary'!E35+'2b. Annual Total Budget Summary'!F35+'2b. Annual Total Budget Summary'!J35+'2b. Annual Total Budget Summary'!K35,IF(AND('3. Basic Input &amp; Assumptions'!$G$6="Yes",OR('3. Basic Input &amp; Assumptions'!$G$7="No",'3. Basic Input &amp; Assumptions'!$G$7=""),OR('3. Basic Input &amp; Assumptions'!$G$8="No",'3. Basic Input &amp; Assumptions'!$G$8=""),OR('3. Basic Input &amp; Assumptions'!$G$9="No",'3. Basic Input &amp; Assumptions'!$G$9="")),'2b. Annual Total Budget Summary'!E35+'2b. Annual Total Budget Summary'!J35+'2b. Annual Total Budget Summary'!K35,IF(AND('3. Basic Input &amp; Assumptions'!$G$6="Yes",OR('3. Basic Input &amp; Assumptions'!$G$7="No",'3. Basic Input &amp; Assumptions'!$G$7=""),'3. Basic Input &amp; Assumptions'!$G$8="Yes",'3. Basic Input &amp; Assumptions'!$G$9="Yes"),'2b. Annual Total Budget Summary'!E35+'2b. Annual Total Budget Summary'!G35+'2b. Annual Total Budget Summary'!H35+'2b. Annual Total Budget Summary'!J35+'2b. Annual Total Budget Summary'!K35,IF(AND('3. Basic Input &amp; Assumptions'!$G$6="Yes",OR('3. Basic Input &amp; Assumptions'!$G$7="No",'3. Basic Input &amp; Assumptions'!$G$7=""),'3. Basic Input &amp; Assumptions'!$G$8="Yes",OR('3. Basic Input &amp; Assumptions'!$G$9="No",'3. Basic Input &amp; Assumptions'!$G$9="")),'2b. Annual Total Budget Summary'!E35+'2b. Annual Total Budget Summary'!G35+'2b. Annual Total Budget Summary'!J35+'2b. Annual Total Budget Summary'!K35,IF(AND('3. Basic Input &amp; Assumptions'!$G$6="Yes",OR('3. Basic Input &amp; Assumptions'!$G$7="No",'3. Basic Input &amp; Assumptions'!$G$7=""),OR('3. Basic Input &amp; Assumptions'!$G$8="No",'3. Basic Input &amp; Assumptions'!$G$8=""),'3. Basic Input &amp; Assumptions'!$G$9="Yes"),'2b. Annual Total Budget Summary'!E35+'2b. Annual Total Budget Summary'!H35+'2b. Annual Total Budget Summary'!J35+'2b. Annual Total Budget Summary'!K35,IF(AND('3. Basic Input &amp; Assumptions'!$G$6="Yes",'3. Basic Input &amp; Assumptions'!$G$7="Yes",OR('3. Basic Input &amp; Assumptions'!$G$8="No",'3. Basic Input &amp; Assumptions'!$G$8=""),'3. Basic Input &amp; Assumptions'!$G$9="Yes"),'2b. Annual Total Budget Summary'!E35+'2b. Annual Total Budget Summary'!F35+'2b. Annual Total Budget Summary'!H35+'2b. Annual Total Budget Summary'!J35+'2b. Annual Total Budget Summary'!K35,IF(AND(OR('3. Basic Input &amp; Assumptions'!$G$6="No",'3. Basic Input &amp; Assumptions'!$G$6=""),'3. Basic Input &amp; Assumptions'!$G$7="Yes",'3. Basic Input &amp; Assumptions'!$G$8="Yes",'3. Basic Input &amp; Assumptions'!$G$9="Yes"),'2b. Annual Total Budget Summary'!F35+'2b. Annual Total Budget Summary'!G35+'2b. Annual Total Budget Summary'!H35+'2b. Annual Total Budget Summary'!J35+'2b. Annual Total Budget Summary'!K35,IF(AND(OR('3. Basic Input &amp; Assumptions'!$G$6="No",'3. Basic Input &amp; Assumptions'!$G$6=""),'3. Basic Input &amp; Assumptions'!$G$7="Yes",'3. Basic Input &amp; Assumptions'!$G$8="Yes",OR('3. Basic Input &amp; Assumptions'!$G$9="No",'3. Basic Input &amp; Assumptions'!$G$9="")),'2b. Annual Total Budget Summary'!F35+'2b. Annual Total Budget Summary'!G35+'2b. Annual Total Budget Summary'!J35+'2b. Annual Total Budget Summary'!K35,IF(AND(OR('3. Basic Input &amp; Assumptions'!$G$6="No",'3. Basic Input &amp; Assumptions'!$G$6=""),'3. Basic Input &amp; Assumptions'!$G$7="Yes",OR('3. Basic Input &amp; Assumptions'!$G$8="No",'3. Basic Input &amp; Assumptions'!$G$8=""),'3. Basic Input &amp; Assumptions'!$G$9="Yes"),'2b. Annual Total Budget Summary'!F35+'2b. Annual Total Budget Summary'!H35+'2b. Annual Total Budget Summary'!J35+'2b. Annual Total Budget Summary'!K35,IF(AND(OR('3. Basic Input &amp; Assumptions'!$G$6="No",'3. Basic Input &amp; Assumptions'!$G$6=""),'3. Basic Input &amp; Assumptions'!$G$7="Yes",OR('3. Basic Input &amp; Assumptions'!$G$8="No",'3. Basic Input &amp; Assumptions'!$G$8=""),OR('3. Basic Input &amp; Assumptions'!$G$9="No",'3. Basic Input &amp; Assumptions'!$G$9="")),'2b. Annual Total Budget Summary'!F35+'2b. Annual Total Budget Summary'!J35+'2b. Annual Total Budget Summary'!K35,IF(AND(OR('3. Basic Input &amp; Assumptions'!$G$6="No",'3. Basic Input &amp; Assumptions'!$G$6=""),OR('3. Basic Input &amp; Assumptions'!$G$7="No",'3. Basic Input &amp; Assumptions'!$G$7=""),'3. Basic Input &amp; Assumptions'!$G$8="Yes",OR('3. Basic Input &amp; Assumptions'!$G$9="No",'3. Basic Input &amp; Assumptions'!$G$9="")),'2b. Annual Total Budget Summary'!G35+'2b. Annual Total Budget Summary'!J35+'2b. Annual Total Budget Summary'!K35,IF(AND(OR('3. Basic Input &amp; Assumptions'!$G$6="No",'3. Basic Input &amp; Assumptions'!$G$6=""),OR('3. Basic Input &amp; Assumptions'!$G$7="No",'3. Basic Input &amp; Assumptions'!$G$7=""),'3. Basic Input &amp; Assumptions'!$G$8="Yes",'3. Basic Input &amp; Assumptions'!$G$9="Yes"),'2b. Annual Total Budget Summary'!G35+'2b. Annual Total Budget Summary'!H35+'2b. Annual Total Budget Summary'!J35+'2b. Annual Total Budget Summary'!K35,IF(AND(OR('3. Basic Input &amp; Assumptions'!$G$6="No",'3. Basic Input &amp; Assumptions'!$G$6=""),OR('3. Basic Input &amp; Assumptions'!$G$7="No",'3. Basic Input &amp; Assumptions'!$G$7=""),OR('3. Basic Input &amp; Assumptions'!$G$8="No",'3. Basic Input &amp; Assumptions'!$G$8=""),'3. Basic Input &amp; Assumptions'!$G$9="Yes"),'2b. Annual Total Budget Summary'!H35+'2b. Annual Total Budget Summary'!J35+'2b. Annual Total Budget Summary'!K35,0)))))))))))))))</f>
        <v>0</v>
      </c>
      <c r="E35" s="215" t="str">
        <f>IF('3. Basic Input &amp; Assumptions'!$G$6="Yes",'4. ACT'!D76,"")</f>
        <v/>
      </c>
      <c r="F35" s="95" t="str">
        <f>IF('3. Basic Input &amp; Assumptions'!$G$7="Yes",'5. ICM'!D88,"")</f>
        <v/>
      </c>
      <c r="G35" s="99" t="str">
        <f>IF('3. Basic Input &amp; Assumptions'!$G$8="Yes",'6. TSS'!D81,"")</f>
        <v/>
      </c>
      <c r="H35" s="99" t="str">
        <f>IF('3. Basic Input &amp; Assumptions'!$G$9="Yes",'7. CTI'!D76,"")</f>
        <v/>
      </c>
      <c r="J35" s="184">
        <f>IF('3. Basic Input &amp; Assumptions'!G12="Yes",SUM('8. General Startup Costs'!$F$33:$F$44),0)</f>
        <v>0</v>
      </c>
      <c r="K35" s="116">
        <f>IF('3. Basic Input &amp; Assumptions'!G13="Yes",SUM('9. Medicaid Admin Costs'!I29:I40),0)</f>
        <v>0</v>
      </c>
    </row>
    <row r="36" spans="2:11" ht="63">
      <c r="B36" s="94" t="s">
        <v>73</v>
      </c>
      <c r="C36" s="95">
        <f>IF(AND('3. Basic Input &amp; Assumptions'!$G$6="Yes",'3. Basic Input &amp; Assumptions'!$G$7="Yes",'3. Basic Input &amp; Assumptions'!$G$8="Yes",'3. Basic Input &amp; Assumptions'!$G$9="Yes"),'2b. Annual Total Budget Summary'!E36+'2b. Annual Total Budget Summary'!F36+'2b. Annual Total Budget Summary'!G36+'2b. Annual Total Budget Summary'!H36+'2b. Annual Total Budget Summary'!J36+'2b. Annual Total Budget Summary'!K36,IF(AND('3. Basic Input &amp; Assumptions'!$G$6="Yes",'3. Basic Input &amp; Assumptions'!$G$7="Yes",'3. Basic Input &amp; Assumptions'!$G$8="Yes",OR('3. Basic Input &amp; Assumptions'!$G$9="No",'3. Basic Input &amp; Assumptions'!$G$9="")),'2b. Annual Total Budget Summary'!E36+'2b. Annual Total Budget Summary'!F36+'2b. Annual Total Budget Summary'!G36+'2b. Annual Total Budget Summary'!J36+'2b. Annual Total Budget Summary'!K36,IF(AND('3. Basic Input &amp; Assumptions'!$G$6="Yes",'3. Basic Input &amp; Assumptions'!$G$7="Yes",OR('3. Basic Input &amp; Assumptions'!$G$8="No",'3. Basic Input &amp; Assumptions'!$G$8=""),OR('3. Basic Input &amp; Assumptions'!$G$9="No",'3. Basic Input &amp; Assumptions'!$G$9="")),'2b. Annual Total Budget Summary'!E36+'2b. Annual Total Budget Summary'!F36+'2b. Annual Total Budget Summary'!J36+'2b. Annual Total Budget Summary'!K36,IF(AND('3. Basic Input &amp; Assumptions'!$G$6="Yes",OR('3. Basic Input &amp; Assumptions'!$G$7="No",'3. Basic Input &amp; Assumptions'!$G$7=""),OR('3. Basic Input &amp; Assumptions'!$G$8="No",'3. Basic Input &amp; Assumptions'!$G$8=""),OR('3. Basic Input &amp; Assumptions'!$G$9="No",'3. Basic Input &amp; Assumptions'!$G$9="")),'2b. Annual Total Budget Summary'!E36+'2b. Annual Total Budget Summary'!J36+'2b. Annual Total Budget Summary'!K36,IF(AND('3. Basic Input &amp; Assumptions'!$G$6="Yes",OR('3. Basic Input &amp; Assumptions'!$G$7="No",'3. Basic Input &amp; Assumptions'!$G$7=""),'3. Basic Input &amp; Assumptions'!$G$8="Yes",'3. Basic Input &amp; Assumptions'!$G$9="Yes"),'2b. Annual Total Budget Summary'!E36+'2b. Annual Total Budget Summary'!G36+'2b. Annual Total Budget Summary'!H36+'2b. Annual Total Budget Summary'!J36+'2b. Annual Total Budget Summary'!K36,IF(AND('3. Basic Input &amp; Assumptions'!$G$6="Yes",OR('3. Basic Input &amp; Assumptions'!$G$7="No",'3. Basic Input &amp; Assumptions'!$G$7=""),'3. Basic Input &amp; Assumptions'!$G$8="Yes",OR('3. Basic Input &amp; Assumptions'!$G$9="No",'3. Basic Input &amp; Assumptions'!$G$9="")),'2b. Annual Total Budget Summary'!E36+'2b. Annual Total Budget Summary'!G36+'2b. Annual Total Budget Summary'!J36+'2b. Annual Total Budget Summary'!K36,IF(AND('3. Basic Input &amp; Assumptions'!$G$6="Yes",OR('3. Basic Input &amp; Assumptions'!$G$7="No",'3. Basic Input &amp; Assumptions'!$G$7=""),OR('3. Basic Input &amp; Assumptions'!$G$8="No",'3. Basic Input &amp; Assumptions'!$G$8=""),'3. Basic Input &amp; Assumptions'!$G$9="Yes"),'2b. Annual Total Budget Summary'!E36+'2b. Annual Total Budget Summary'!H36+'2b. Annual Total Budget Summary'!J36+'2b. Annual Total Budget Summary'!K36,IF(AND('3. Basic Input &amp; Assumptions'!$G$6="Yes",'3. Basic Input &amp; Assumptions'!$G$7="Yes",OR('3. Basic Input &amp; Assumptions'!$G$8="No",'3. Basic Input &amp; Assumptions'!$G$8=""),'3. Basic Input &amp; Assumptions'!$G$9="Yes"),'2b. Annual Total Budget Summary'!E36+'2b. Annual Total Budget Summary'!F36+'2b. Annual Total Budget Summary'!H36+'2b. Annual Total Budget Summary'!J36+'2b. Annual Total Budget Summary'!K36,IF(AND(OR('3. Basic Input &amp; Assumptions'!$G$6="No",'3. Basic Input &amp; Assumptions'!$G$6=""),'3. Basic Input &amp; Assumptions'!$G$7="Yes",'3. Basic Input &amp; Assumptions'!$G$8="Yes",'3. Basic Input &amp; Assumptions'!$G$9="Yes"),'2b. Annual Total Budget Summary'!F36+'2b. Annual Total Budget Summary'!G36+'2b. Annual Total Budget Summary'!H36+'2b. Annual Total Budget Summary'!J36+'2b. Annual Total Budget Summary'!K36,IF(AND(OR('3. Basic Input &amp; Assumptions'!$G$6="No",'3. Basic Input &amp; Assumptions'!$G$6=""),'3. Basic Input &amp; Assumptions'!$G$7="Yes",'3. Basic Input &amp; Assumptions'!$G$8="Yes",OR('3. Basic Input &amp; Assumptions'!$G$9="No",'3. Basic Input &amp; Assumptions'!$G$9="")),'2b. Annual Total Budget Summary'!F36+'2b. Annual Total Budget Summary'!G36+'2b. Annual Total Budget Summary'!J36+'2b. Annual Total Budget Summary'!K36,IF(AND(OR('3. Basic Input &amp; Assumptions'!$G$6="No",'3. Basic Input &amp; Assumptions'!$G$6=""),'3. Basic Input &amp; Assumptions'!$G$7="Yes",OR('3. Basic Input &amp; Assumptions'!$G$8="No",'3. Basic Input &amp; Assumptions'!$G$8=""),'3. Basic Input &amp; Assumptions'!$G$9="Yes"),'2b. Annual Total Budget Summary'!F36+'2b. Annual Total Budget Summary'!H36+'2b. Annual Total Budget Summary'!J36+'2b. Annual Total Budget Summary'!K36,IF(AND(OR('3. Basic Input &amp; Assumptions'!$G$6="No",'3. Basic Input &amp; Assumptions'!$G$6=""),'3. Basic Input &amp; Assumptions'!$G$7="Yes",OR('3. Basic Input &amp; Assumptions'!$G$8="No",'3. Basic Input &amp; Assumptions'!$G$8=""),OR('3. Basic Input &amp; Assumptions'!$G$9="No",'3. Basic Input &amp; Assumptions'!$G$9="")),'2b. Annual Total Budget Summary'!F36+'2b. Annual Total Budget Summary'!J36+'2b. Annual Total Budget Summary'!K36,IF(AND(OR('3. Basic Input &amp; Assumptions'!$G$6="No",'3. Basic Input &amp; Assumptions'!$G$6=""),OR('3. Basic Input &amp; Assumptions'!$G$7="No",'3. Basic Input &amp; Assumptions'!$G$7=""),'3. Basic Input &amp; Assumptions'!$G$8="Yes",OR('3. Basic Input &amp; Assumptions'!$G$9="No",'3. Basic Input &amp; Assumptions'!$G$9="")),'2b. Annual Total Budget Summary'!G36+'2b. Annual Total Budget Summary'!J36+'2b. Annual Total Budget Summary'!K36,IF(AND(OR('3. Basic Input &amp; Assumptions'!$G$6="No",'3. Basic Input &amp; Assumptions'!$G$6=""),OR('3. Basic Input &amp; Assumptions'!$G$7="No",'3. Basic Input &amp; Assumptions'!$G$7=""),'3. Basic Input &amp; Assumptions'!$G$8="Yes",'3. Basic Input &amp; Assumptions'!$G$9="Yes"),'2b. Annual Total Budget Summary'!G36+'2b. Annual Total Budget Summary'!H36+'2b. Annual Total Budget Summary'!J36+'2b. Annual Total Budget Summary'!K36,IF(AND(OR('3. Basic Input &amp; Assumptions'!$G$6="No",'3. Basic Input &amp; Assumptions'!$G$6=""),OR('3. Basic Input &amp; Assumptions'!$G$7="No",'3. Basic Input &amp; Assumptions'!$G$7=""),OR('3. Basic Input &amp; Assumptions'!$G$8="No",'3. Basic Input &amp; Assumptions'!$G$8=""),'3. Basic Input &amp; Assumptions'!$G$9="Yes"),'2b. Annual Total Budget Summary'!H36+'2b. Annual Total Budget Summary'!J36+'2b. Annual Total Budget Summary'!K36,0)))))))))))))))</f>
        <v>0</v>
      </c>
      <c r="E36" s="215" t="str">
        <f>IF('3. Basic Input &amp; Assumptions'!$G$6="Yes",'4. ACT'!D77,"")</f>
        <v/>
      </c>
      <c r="F36" s="101"/>
      <c r="G36" s="101"/>
      <c r="H36" s="101"/>
      <c r="J36" s="184">
        <f>IF('3. Basic Input &amp; Assumptions'!G12="Yes",'8. General Startup Costs'!$F$45,0)</f>
        <v>0</v>
      </c>
      <c r="K36" s="114"/>
    </row>
    <row r="37" spans="2:11">
      <c r="B37" s="94" t="s">
        <v>74</v>
      </c>
      <c r="C37" s="95">
        <f>IF(AND('3. Basic Input &amp; Assumptions'!$G$6="Yes",'3. Basic Input &amp; Assumptions'!$G$7="Yes",'3. Basic Input &amp; Assumptions'!$G$8="Yes",'3. Basic Input &amp; Assumptions'!$G$9="Yes"),'2b. Annual Total Budget Summary'!E37+'2b. Annual Total Budget Summary'!F37+'2b. Annual Total Budget Summary'!G37+'2b. Annual Total Budget Summary'!H37+'2b. Annual Total Budget Summary'!J37+'2b. Annual Total Budget Summary'!K37,IF(AND('3. Basic Input &amp; Assumptions'!$G$6="Yes",'3. Basic Input &amp; Assumptions'!$G$7="Yes",'3. Basic Input &amp; Assumptions'!$G$8="Yes",OR('3. Basic Input &amp; Assumptions'!$G$9="No",'3. Basic Input &amp; Assumptions'!$G$9="")),'2b. Annual Total Budget Summary'!E37+'2b. Annual Total Budget Summary'!F37+'2b. Annual Total Budget Summary'!G37+'2b. Annual Total Budget Summary'!J37+'2b. Annual Total Budget Summary'!K37,IF(AND('3. Basic Input &amp; Assumptions'!$G$6="Yes",'3. Basic Input &amp; Assumptions'!$G$7="Yes",OR('3. Basic Input &amp; Assumptions'!$G$8="No",'3. Basic Input &amp; Assumptions'!$G$8=""),OR('3. Basic Input &amp; Assumptions'!$G$9="No",'3. Basic Input &amp; Assumptions'!$G$9="")),'2b. Annual Total Budget Summary'!E37+'2b. Annual Total Budget Summary'!F37+'2b. Annual Total Budget Summary'!J37+'2b. Annual Total Budget Summary'!K37,IF(AND('3. Basic Input &amp; Assumptions'!$G$6="Yes",OR('3. Basic Input &amp; Assumptions'!$G$7="No",'3. Basic Input &amp; Assumptions'!$G$7=""),OR('3. Basic Input &amp; Assumptions'!$G$8="No",'3. Basic Input &amp; Assumptions'!$G$8=""),OR('3. Basic Input &amp; Assumptions'!$G$9="No",'3. Basic Input &amp; Assumptions'!$G$9="")),'2b. Annual Total Budget Summary'!E37+'2b. Annual Total Budget Summary'!J37+'2b. Annual Total Budget Summary'!K37,IF(AND('3. Basic Input &amp; Assumptions'!$G$6="Yes",OR('3. Basic Input &amp; Assumptions'!$G$7="No",'3. Basic Input &amp; Assumptions'!$G$7=""),'3. Basic Input &amp; Assumptions'!$G$8="Yes",'3. Basic Input &amp; Assumptions'!$G$9="Yes"),'2b. Annual Total Budget Summary'!E37+'2b. Annual Total Budget Summary'!G37+'2b. Annual Total Budget Summary'!H37+'2b. Annual Total Budget Summary'!J37+'2b. Annual Total Budget Summary'!K37,IF(AND('3. Basic Input &amp; Assumptions'!$G$6="Yes",OR('3. Basic Input &amp; Assumptions'!$G$7="No",'3. Basic Input &amp; Assumptions'!$G$7=""),'3. Basic Input &amp; Assumptions'!$G$8="Yes",OR('3. Basic Input &amp; Assumptions'!$G$9="No",'3. Basic Input &amp; Assumptions'!$G$9="")),'2b. Annual Total Budget Summary'!E37+'2b. Annual Total Budget Summary'!G37+'2b. Annual Total Budget Summary'!J37+'2b. Annual Total Budget Summary'!K37,IF(AND('3. Basic Input &amp; Assumptions'!$G$6="Yes",OR('3. Basic Input &amp; Assumptions'!$G$7="No",'3. Basic Input &amp; Assumptions'!$G$7=""),OR('3. Basic Input &amp; Assumptions'!$G$8="No",'3. Basic Input &amp; Assumptions'!$G$8=""),'3. Basic Input &amp; Assumptions'!$G$9="Yes"),'2b. Annual Total Budget Summary'!E37+'2b. Annual Total Budget Summary'!H37+'2b. Annual Total Budget Summary'!J37+'2b. Annual Total Budget Summary'!K37,IF(AND('3. Basic Input &amp; Assumptions'!$G$6="Yes",'3. Basic Input &amp; Assumptions'!$G$7="Yes",OR('3. Basic Input &amp; Assumptions'!$G$8="No",'3. Basic Input &amp; Assumptions'!$G$8=""),'3. Basic Input &amp; Assumptions'!$G$9="Yes"),'2b. Annual Total Budget Summary'!E37+'2b. Annual Total Budget Summary'!F37+'2b. Annual Total Budget Summary'!H37+'2b. Annual Total Budget Summary'!J37+'2b. Annual Total Budget Summary'!K37,IF(AND(OR('3. Basic Input &amp; Assumptions'!$G$6="No",'3. Basic Input &amp; Assumptions'!$G$6=""),'3. Basic Input &amp; Assumptions'!$G$7="Yes",'3. Basic Input &amp; Assumptions'!$G$8="Yes",'3. Basic Input &amp; Assumptions'!$G$9="Yes"),'2b. Annual Total Budget Summary'!F37+'2b. Annual Total Budget Summary'!G37+'2b. Annual Total Budget Summary'!H37+'2b. Annual Total Budget Summary'!J37+'2b. Annual Total Budget Summary'!K37,IF(AND(OR('3. Basic Input &amp; Assumptions'!$G$6="No",'3. Basic Input &amp; Assumptions'!$G$6=""),'3. Basic Input &amp; Assumptions'!$G$7="Yes",'3. Basic Input &amp; Assumptions'!$G$8="Yes",OR('3. Basic Input &amp; Assumptions'!$G$9="No",'3. Basic Input &amp; Assumptions'!$G$9="")),'2b. Annual Total Budget Summary'!F37+'2b. Annual Total Budget Summary'!G37+'2b. Annual Total Budget Summary'!J37+'2b. Annual Total Budget Summary'!K37,IF(AND(OR('3. Basic Input &amp; Assumptions'!$G$6="No",'3. Basic Input &amp; Assumptions'!$G$6=""),'3. Basic Input &amp; Assumptions'!$G$7="Yes",OR('3. Basic Input &amp; Assumptions'!$G$8="No",'3. Basic Input &amp; Assumptions'!$G$8=""),'3. Basic Input &amp; Assumptions'!$G$9="Yes"),'2b. Annual Total Budget Summary'!F37+'2b. Annual Total Budget Summary'!H37+'2b. Annual Total Budget Summary'!J37+'2b. Annual Total Budget Summary'!K37,IF(AND(OR('3. Basic Input &amp; Assumptions'!$G$6="No",'3. Basic Input &amp; Assumptions'!$G$6=""),'3. Basic Input &amp; Assumptions'!$G$7="Yes",OR('3. Basic Input &amp; Assumptions'!$G$8="No",'3. Basic Input &amp; Assumptions'!$G$8=""),OR('3. Basic Input &amp; Assumptions'!$G$9="No",'3. Basic Input &amp; Assumptions'!$G$9="")),'2b. Annual Total Budget Summary'!F37+'2b. Annual Total Budget Summary'!J37+'2b. Annual Total Budget Summary'!K37,IF(AND(OR('3. Basic Input &amp; Assumptions'!$G$6="No",'3. Basic Input &amp; Assumptions'!$G$6=""),OR('3. Basic Input &amp; Assumptions'!$G$7="No",'3. Basic Input &amp; Assumptions'!$G$7=""),'3. Basic Input &amp; Assumptions'!$G$8="Yes",OR('3. Basic Input &amp; Assumptions'!$G$9="No",'3. Basic Input &amp; Assumptions'!$G$9="")),'2b. Annual Total Budget Summary'!G37+'2b. Annual Total Budget Summary'!J37+'2b. Annual Total Budget Summary'!K37,IF(AND(OR('3. Basic Input &amp; Assumptions'!$G$6="No",'3. Basic Input &amp; Assumptions'!$G$6=""),OR('3. Basic Input &amp; Assumptions'!$G$7="No",'3. Basic Input &amp; Assumptions'!$G$7=""),'3. Basic Input &amp; Assumptions'!$G$8="Yes",'3. Basic Input &amp; Assumptions'!$G$9="Yes"),'2b. Annual Total Budget Summary'!G37+'2b. Annual Total Budget Summary'!H37+'2b. Annual Total Budget Summary'!J37+'2b. Annual Total Budget Summary'!K37,IF(AND(OR('3. Basic Input &amp; Assumptions'!$G$6="No",'3. Basic Input &amp; Assumptions'!$G$6=""),OR('3. Basic Input &amp; Assumptions'!$G$7="No",'3. Basic Input &amp; Assumptions'!$G$7=""),OR('3. Basic Input &amp; Assumptions'!$G$8="No",'3. Basic Input &amp; Assumptions'!$G$8=""),'3. Basic Input &amp; Assumptions'!$G$9="Yes"),'2b. Annual Total Budget Summary'!H37+'2b. Annual Total Budget Summary'!J37+'2b. Annual Total Budget Summary'!K37,0)))))))))))))))</f>
        <v>0</v>
      </c>
      <c r="E37" s="215" t="str">
        <f>IF('3. Basic Input &amp; Assumptions'!$G$6="Yes",'4. ACT'!D78,"")</f>
        <v/>
      </c>
      <c r="F37" s="95" t="str">
        <f>IF('3. Basic Input &amp; Assumptions'!$G$7="Yes",'5. ICM'!D90,"")</f>
        <v/>
      </c>
      <c r="G37" s="95" t="str">
        <f>IF('3. Basic Input &amp; Assumptions'!$G$8="Yes",'6. TSS'!D83,"")</f>
        <v/>
      </c>
      <c r="H37" s="95" t="str">
        <f>IF('3. Basic Input &amp; Assumptions'!$G$9="Yes",'7. CTI'!D78,"")</f>
        <v/>
      </c>
      <c r="J37" s="183"/>
      <c r="K37" s="114"/>
    </row>
    <row r="38" spans="2:11">
      <c r="B38" s="94" t="s">
        <v>75</v>
      </c>
      <c r="C38" s="95">
        <f>IF(AND('3. Basic Input &amp; Assumptions'!$G$6="Yes",'3. Basic Input &amp; Assumptions'!$G$7="Yes",'3. Basic Input &amp; Assumptions'!$G$8="Yes",'3. Basic Input &amp; Assumptions'!$G$9="Yes"),'2b. Annual Total Budget Summary'!E38+'2b. Annual Total Budget Summary'!F38+'2b. Annual Total Budget Summary'!G38+'2b. Annual Total Budget Summary'!H38+'2b. Annual Total Budget Summary'!J38+'2b. Annual Total Budget Summary'!K38,IF(AND('3. Basic Input &amp; Assumptions'!$G$6="Yes",'3. Basic Input &amp; Assumptions'!$G$7="Yes",'3. Basic Input &amp; Assumptions'!$G$8="Yes",OR('3. Basic Input &amp; Assumptions'!$G$9="No",'3. Basic Input &amp; Assumptions'!$G$9="")),'2b. Annual Total Budget Summary'!E38+'2b. Annual Total Budget Summary'!F38+'2b. Annual Total Budget Summary'!G38+'2b. Annual Total Budget Summary'!J38+'2b. Annual Total Budget Summary'!K38,IF(AND('3. Basic Input &amp; Assumptions'!$G$6="Yes",'3. Basic Input &amp; Assumptions'!$G$7="Yes",OR('3. Basic Input &amp; Assumptions'!$G$8="No",'3. Basic Input &amp; Assumptions'!$G$8=""),OR('3. Basic Input &amp; Assumptions'!$G$9="No",'3. Basic Input &amp; Assumptions'!$G$9="")),'2b. Annual Total Budget Summary'!E38+'2b. Annual Total Budget Summary'!F38+'2b. Annual Total Budget Summary'!J38+'2b. Annual Total Budget Summary'!K38,IF(AND('3. Basic Input &amp; Assumptions'!$G$6="Yes",OR('3. Basic Input &amp; Assumptions'!$G$7="No",'3. Basic Input &amp; Assumptions'!$G$7=""),OR('3. Basic Input &amp; Assumptions'!$G$8="No",'3. Basic Input &amp; Assumptions'!$G$8=""),OR('3. Basic Input &amp; Assumptions'!$G$9="No",'3. Basic Input &amp; Assumptions'!$G$9="")),'2b. Annual Total Budget Summary'!E38+'2b. Annual Total Budget Summary'!J38+'2b. Annual Total Budget Summary'!K38,IF(AND('3. Basic Input &amp; Assumptions'!$G$6="Yes",OR('3. Basic Input &amp; Assumptions'!$G$7="No",'3. Basic Input &amp; Assumptions'!$G$7=""),'3. Basic Input &amp; Assumptions'!$G$8="Yes",'3. Basic Input &amp; Assumptions'!$G$9="Yes"),'2b. Annual Total Budget Summary'!E38+'2b. Annual Total Budget Summary'!G38+'2b. Annual Total Budget Summary'!H38+'2b. Annual Total Budget Summary'!J38+'2b. Annual Total Budget Summary'!K38,IF(AND('3. Basic Input &amp; Assumptions'!$G$6="Yes",OR('3. Basic Input &amp; Assumptions'!$G$7="No",'3. Basic Input &amp; Assumptions'!$G$7=""),'3. Basic Input &amp; Assumptions'!$G$8="Yes",OR('3. Basic Input &amp; Assumptions'!$G$9="No",'3. Basic Input &amp; Assumptions'!$G$9="")),'2b. Annual Total Budget Summary'!E38+'2b. Annual Total Budget Summary'!G38+'2b. Annual Total Budget Summary'!J38+'2b. Annual Total Budget Summary'!K38,IF(AND('3. Basic Input &amp; Assumptions'!$G$6="Yes",OR('3. Basic Input &amp; Assumptions'!$G$7="No",'3. Basic Input &amp; Assumptions'!$G$7=""),OR('3. Basic Input &amp; Assumptions'!$G$8="No",'3. Basic Input &amp; Assumptions'!$G$8=""),'3. Basic Input &amp; Assumptions'!$G$9="Yes"),'2b. Annual Total Budget Summary'!E38+'2b. Annual Total Budget Summary'!H38+'2b. Annual Total Budget Summary'!J38+'2b. Annual Total Budget Summary'!K38,IF(AND('3. Basic Input &amp; Assumptions'!$G$6="Yes",'3. Basic Input &amp; Assumptions'!$G$7="Yes",OR('3. Basic Input &amp; Assumptions'!$G$8="No",'3. Basic Input &amp; Assumptions'!$G$8=""),'3. Basic Input &amp; Assumptions'!$G$9="Yes"),'2b. Annual Total Budget Summary'!E38+'2b. Annual Total Budget Summary'!F38+'2b. Annual Total Budget Summary'!H38+'2b. Annual Total Budget Summary'!J38+'2b. Annual Total Budget Summary'!K38,IF(AND(OR('3. Basic Input &amp; Assumptions'!$G$6="No",'3. Basic Input &amp; Assumptions'!$G$6=""),'3. Basic Input &amp; Assumptions'!$G$7="Yes",'3. Basic Input &amp; Assumptions'!$G$8="Yes",'3. Basic Input &amp; Assumptions'!$G$9="Yes"),'2b. Annual Total Budget Summary'!F38+'2b. Annual Total Budget Summary'!G38+'2b. Annual Total Budget Summary'!H38+'2b. Annual Total Budget Summary'!J38+'2b. Annual Total Budget Summary'!K38,IF(AND(OR('3. Basic Input &amp; Assumptions'!$G$6="No",'3. Basic Input &amp; Assumptions'!$G$6=""),'3. Basic Input &amp; Assumptions'!$G$7="Yes",'3. Basic Input &amp; Assumptions'!$G$8="Yes",OR('3. Basic Input &amp; Assumptions'!$G$9="No",'3. Basic Input &amp; Assumptions'!$G$9="")),'2b. Annual Total Budget Summary'!F38+'2b. Annual Total Budget Summary'!G38+'2b. Annual Total Budget Summary'!J38+'2b. Annual Total Budget Summary'!K38,IF(AND(OR('3. Basic Input &amp; Assumptions'!$G$6="No",'3. Basic Input &amp; Assumptions'!$G$6=""),'3. Basic Input &amp; Assumptions'!$G$7="Yes",OR('3. Basic Input &amp; Assumptions'!$G$8="No",'3. Basic Input &amp; Assumptions'!$G$8=""),'3. Basic Input &amp; Assumptions'!$G$9="Yes"),'2b. Annual Total Budget Summary'!F38+'2b. Annual Total Budget Summary'!H38+'2b. Annual Total Budget Summary'!J38+'2b. Annual Total Budget Summary'!K38,IF(AND(OR('3. Basic Input &amp; Assumptions'!$G$6="No",'3. Basic Input &amp; Assumptions'!$G$6=""),'3. Basic Input &amp; Assumptions'!$G$7="Yes",OR('3. Basic Input &amp; Assumptions'!$G$8="No",'3. Basic Input &amp; Assumptions'!$G$8=""),OR('3. Basic Input &amp; Assumptions'!$G$9="No",'3. Basic Input &amp; Assumptions'!$G$9="")),'2b. Annual Total Budget Summary'!F38+'2b. Annual Total Budget Summary'!J38+'2b. Annual Total Budget Summary'!K38,IF(AND(OR('3. Basic Input &amp; Assumptions'!$G$6="No",'3. Basic Input &amp; Assumptions'!$G$6=""),OR('3. Basic Input &amp; Assumptions'!$G$7="No",'3. Basic Input &amp; Assumptions'!$G$7=""),'3. Basic Input &amp; Assumptions'!$G$8="Yes",OR('3. Basic Input &amp; Assumptions'!$G$9="No",'3. Basic Input &amp; Assumptions'!$G$9="")),'2b. Annual Total Budget Summary'!G38+'2b. Annual Total Budget Summary'!J38+'2b. Annual Total Budget Summary'!K38,IF(AND(OR('3. Basic Input &amp; Assumptions'!$G$6="No",'3. Basic Input &amp; Assumptions'!$G$6=""),OR('3. Basic Input &amp; Assumptions'!$G$7="No",'3. Basic Input &amp; Assumptions'!$G$7=""),'3. Basic Input &amp; Assumptions'!$G$8="Yes",'3. Basic Input &amp; Assumptions'!$G$9="Yes"),'2b. Annual Total Budget Summary'!G38+'2b. Annual Total Budget Summary'!H38+'2b. Annual Total Budget Summary'!J38+'2b. Annual Total Budget Summary'!K38,IF(AND(OR('3. Basic Input &amp; Assumptions'!$G$6="No",'3. Basic Input &amp; Assumptions'!$G$6=""),OR('3. Basic Input &amp; Assumptions'!$G$7="No",'3. Basic Input &amp; Assumptions'!$G$7=""),OR('3. Basic Input &amp; Assumptions'!$G$8="No",'3. Basic Input &amp; Assumptions'!$G$8=""),'3. Basic Input &amp; Assumptions'!$G$9="Yes"),'2b. Annual Total Budget Summary'!H38+'2b. Annual Total Budget Summary'!J38+'2b. Annual Total Budget Summary'!K38,0)))))))))))))))</f>
        <v>0</v>
      </c>
      <c r="E38" s="215" t="str">
        <f>IF('3. Basic Input &amp; Assumptions'!$G$6="Yes",'4. ACT'!D79,"")</f>
        <v/>
      </c>
      <c r="F38" s="95" t="str">
        <f>IF('3. Basic Input &amp; Assumptions'!$G$7="Yes",'5. ICM'!D91,"")</f>
        <v/>
      </c>
      <c r="G38" s="95" t="str">
        <f>IF('3. Basic Input &amp; Assumptions'!$G$8="Yes",'6. TSS'!D84,"")</f>
        <v/>
      </c>
      <c r="H38" s="95" t="str">
        <f>IF('3. Basic Input &amp; Assumptions'!$G$9="Yes",'7. CTI'!D79,"")</f>
        <v/>
      </c>
      <c r="J38" s="183"/>
      <c r="K38" s="114"/>
    </row>
    <row r="39" spans="2:11" ht="31.5">
      <c r="B39" s="94" t="s">
        <v>76</v>
      </c>
      <c r="C39" s="95">
        <f>IF(AND('3. Basic Input &amp; Assumptions'!$G$6="Yes",'3. Basic Input &amp; Assumptions'!$G$7="Yes",'3. Basic Input &amp; Assumptions'!$G$8="Yes",'3. Basic Input &amp; Assumptions'!$G$9="Yes"),'2b. Annual Total Budget Summary'!E39+'2b. Annual Total Budget Summary'!F39+'2b. Annual Total Budget Summary'!G39+'2b. Annual Total Budget Summary'!H39+'2b. Annual Total Budget Summary'!J39+'2b. Annual Total Budget Summary'!K39,IF(AND('3. Basic Input &amp; Assumptions'!$G$6="Yes",'3. Basic Input &amp; Assumptions'!$G$7="Yes",'3. Basic Input &amp; Assumptions'!$G$8="Yes",OR('3. Basic Input &amp; Assumptions'!$G$9="No",'3. Basic Input &amp; Assumptions'!$G$9="")),'2b. Annual Total Budget Summary'!E39+'2b. Annual Total Budget Summary'!F39+'2b. Annual Total Budget Summary'!G39+'2b. Annual Total Budget Summary'!J39+'2b. Annual Total Budget Summary'!K39,IF(AND('3. Basic Input &amp; Assumptions'!$G$6="Yes",'3. Basic Input &amp; Assumptions'!$G$7="Yes",OR('3. Basic Input &amp; Assumptions'!$G$8="No",'3. Basic Input &amp; Assumptions'!$G$8=""),OR('3. Basic Input &amp; Assumptions'!$G$9="No",'3. Basic Input &amp; Assumptions'!$G$9="")),'2b. Annual Total Budget Summary'!E39+'2b. Annual Total Budget Summary'!F39+'2b. Annual Total Budget Summary'!J39+'2b. Annual Total Budget Summary'!K39,IF(AND('3. Basic Input &amp; Assumptions'!$G$6="Yes",OR('3. Basic Input &amp; Assumptions'!$G$7="No",'3. Basic Input &amp; Assumptions'!$G$7=""),OR('3. Basic Input &amp; Assumptions'!$G$8="No",'3. Basic Input &amp; Assumptions'!$G$8=""),OR('3. Basic Input &amp; Assumptions'!$G$9="No",'3. Basic Input &amp; Assumptions'!$G$9="")),'2b. Annual Total Budget Summary'!E39+'2b. Annual Total Budget Summary'!J39+'2b. Annual Total Budget Summary'!K39,IF(AND('3. Basic Input &amp; Assumptions'!$G$6="Yes",OR('3. Basic Input &amp; Assumptions'!$G$7="No",'3. Basic Input &amp; Assumptions'!$G$7=""),'3. Basic Input &amp; Assumptions'!$G$8="Yes",'3. Basic Input &amp; Assumptions'!$G$9="Yes"),'2b. Annual Total Budget Summary'!E39+'2b. Annual Total Budget Summary'!G39+'2b. Annual Total Budget Summary'!H39+'2b. Annual Total Budget Summary'!J39+'2b. Annual Total Budget Summary'!K39,IF(AND('3. Basic Input &amp; Assumptions'!$G$6="Yes",OR('3. Basic Input &amp; Assumptions'!$G$7="No",'3. Basic Input &amp; Assumptions'!$G$7=""),'3. Basic Input &amp; Assumptions'!$G$8="Yes",OR('3. Basic Input &amp; Assumptions'!$G$9="No",'3. Basic Input &amp; Assumptions'!$G$9="")),'2b. Annual Total Budget Summary'!E39+'2b. Annual Total Budget Summary'!G39+'2b. Annual Total Budget Summary'!J39+'2b. Annual Total Budget Summary'!K39,IF(AND('3. Basic Input &amp; Assumptions'!$G$6="Yes",OR('3. Basic Input &amp; Assumptions'!$G$7="No",'3. Basic Input &amp; Assumptions'!$G$7=""),OR('3. Basic Input &amp; Assumptions'!$G$8="No",'3. Basic Input &amp; Assumptions'!$G$8=""),'3. Basic Input &amp; Assumptions'!$G$9="Yes"),'2b. Annual Total Budget Summary'!E39+'2b. Annual Total Budget Summary'!H39+'2b. Annual Total Budget Summary'!J39+'2b. Annual Total Budget Summary'!K39,IF(AND('3. Basic Input &amp; Assumptions'!$G$6="Yes",'3. Basic Input &amp; Assumptions'!$G$7="Yes",OR('3. Basic Input &amp; Assumptions'!$G$8="No",'3. Basic Input &amp; Assumptions'!$G$8=""),'3. Basic Input &amp; Assumptions'!$G$9="Yes"),'2b. Annual Total Budget Summary'!E39+'2b. Annual Total Budget Summary'!F39+'2b. Annual Total Budget Summary'!H39+'2b. Annual Total Budget Summary'!J39+'2b. Annual Total Budget Summary'!K39,IF(AND(OR('3. Basic Input &amp; Assumptions'!$G$6="No",'3. Basic Input &amp; Assumptions'!$G$6=""),'3. Basic Input &amp; Assumptions'!$G$7="Yes",'3. Basic Input &amp; Assumptions'!$G$8="Yes",'3. Basic Input &amp; Assumptions'!$G$9="Yes"),'2b. Annual Total Budget Summary'!F39+'2b. Annual Total Budget Summary'!G39+'2b. Annual Total Budget Summary'!H39+'2b. Annual Total Budget Summary'!J39+'2b. Annual Total Budget Summary'!K39,IF(AND(OR('3. Basic Input &amp; Assumptions'!$G$6="No",'3. Basic Input &amp; Assumptions'!$G$6=""),'3. Basic Input &amp; Assumptions'!$G$7="Yes",'3. Basic Input &amp; Assumptions'!$G$8="Yes",OR('3. Basic Input &amp; Assumptions'!$G$9="No",'3. Basic Input &amp; Assumptions'!$G$9="")),'2b. Annual Total Budget Summary'!F39+'2b. Annual Total Budget Summary'!G39+'2b. Annual Total Budget Summary'!J39+'2b. Annual Total Budget Summary'!K39,IF(AND(OR('3. Basic Input &amp; Assumptions'!$G$6="No",'3. Basic Input &amp; Assumptions'!$G$6=""),'3. Basic Input &amp; Assumptions'!$G$7="Yes",OR('3. Basic Input &amp; Assumptions'!$G$8="No",'3. Basic Input &amp; Assumptions'!$G$8=""),'3. Basic Input &amp; Assumptions'!$G$9="Yes"),'2b. Annual Total Budget Summary'!F39+'2b. Annual Total Budget Summary'!H39+'2b. Annual Total Budget Summary'!J39+'2b. Annual Total Budget Summary'!K39,IF(AND(OR('3. Basic Input &amp; Assumptions'!$G$6="No",'3. Basic Input &amp; Assumptions'!$G$6=""),'3. Basic Input &amp; Assumptions'!$G$7="Yes",OR('3. Basic Input &amp; Assumptions'!$G$8="No",'3. Basic Input &amp; Assumptions'!$G$8=""),OR('3. Basic Input &amp; Assumptions'!$G$9="No",'3. Basic Input &amp; Assumptions'!$G$9="")),'2b. Annual Total Budget Summary'!F39+'2b. Annual Total Budget Summary'!J39+'2b. Annual Total Budget Summary'!K39,IF(AND(OR('3. Basic Input &amp; Assumptions'!$G$6="No",'3. Basic Input &amp; Assumptions'!$G$6=""),OR('3. Basic Input &amp; Assumptions'!$G$7="No",'3. Basic Input &amp; Assumptions'!$G$7=""),'3. Basic Input &amp; Assumptions'!$G$8="Yes",OR('3. Basic Input &amp; Assumptions'!$G$9="No",'3. Basic Input &amp; Assumptions'!$G$9="")),'2b. Annual Total Budget Summary'!G39+'2b. Annual Total Budget Summary'!J39+'2b. Annual Total Budget Summary'!K39,IF(AND(OR('3. Basic Input &amp; Assumptions'!$G$6="No",'3. Basic Input &amp; Assumptions'!$G$6=""),OR('3. Basic Input &amp; Assumptions'!$G$7="No",'3. Basic Input &amp; Assumptions'!$G$7=""),'3. Basic Input &amp; Assumptions'!$G$8="Yes",'3. Basic Input &amp; Assumptions'!$G$9="Yes"),'2b. Annual Total Budget Summary'!G39+'2b. Annual Total Budget Summary'!H39+'2b. Annual Total Budget Summary'!J39+'2b. Annual Total Budget Summary'!K39,IF(AND(OR('3. Basic Input &amp; Assumptions'!$G$6="No",'3. Basic Input &amp; Assumptions'!$G$6=""),OR('3. Basic Input &amp; Assumptions'!$G$7="No",'3. Basic Input &amp; Assumptions'!$G$7=""),OR('3. Basic Input &amp; Assumptions'!$G$8="No",'3. Basic Input &amp; Assumptions'!$G$8=""),'3. Basic Input &amp; Assumptions'!$G$9="Yes"),'2b. Annual Total Budget Summary'!H39+'2b. Annual Total Budget Summary'!J39+'2b. Annual Total Budget Summary'!K39,0)))))))))))))))</f>
        <v>0</v>
      </c>
      <c r="E39" s="215" t="str">
        <f>IF('3. Basic Input &amp; Assumptions'!$G$6="Yes",'4. ACT'!D80,"")</f>
        <v/>
      </c>
      <c r="F39" s="95" t="str">
        <f>IF('3. Basic Input &amp; Assumptions'!$G$7="Yes",'5. ICM'!D92,"")</f>
        <v/>
      </c>
      <c r="G39" s="95" t="str">
        <f>IF('3. Basic Input &amp; Assumptions'!$G$8="Yes",'6. TSS'!D85,"")</f>
        <v/>
      </c>
      <c r="H39" s="95" t="str">
        <f>IF('3. Basic Input &amp; Assumptions'!$G$9="Yes",'7. CTI'!D80,"")</f>
        <v/>
      </c>
      <c r="J39" s="184">
        <f>IF('3. Basic Input &amp; Assumptions'!G12="Yes",SUM('8. General Startup Costs'!$F$47:$F$50),0)</f>
        <v>0</v>
      </c>
      <c r="K39" s="116">
        <f>IF('3. Basic Input &amp; Assumptions'!G13="Yes",SUM('9. Medicaid Admin Costs'!I41:I48),0)</f>
        <v>0</v>
      </c>
    </row>
    <row r="40" spans="2:11">
      <c r="B40" s="96" t="s">
        <v>77</v>
      </c>
      <c r="C40" s="200">
        <f>IF(AND('3. Basic Input &amp; Assumptions'!$G$6="Yes",'3. Basic Input &amp; Assumptions'!$G$7="Yes",'3. Basic Input &amp; Assumptions'!$G$8="Yes",'3. Basic Input &amp; Assumptions'!$G$9="Yes"),'2b. Annual Total Budget Summary'!E40+'2b. Annual Total Budget Summary'!F40+'2b. Annual Total Budget Summary'!G40+'2b. Annual Total Budget Summary'!H40+'2b. Annual Total Budget Summary'!J40+'2b. Annual Total Budget Summary'!K40,IF(AND('3. Basic Input &amp; Assumptions'!$G$6="Yes",'3. Basic Input &amp; Assumptions'!$G$7="Yes",'3. Basic Input &amp; Assumptions'!$G$8="Yes",OR('3. Basic Input &amp; Assumptions'!$G$9="No",'3. Basic Input &amp; Assumptions'!$G$9="")),'2b. Annual Total Budget Summary'!E40+'2b. Annual Total Budget Summary'!F40+'2b. Annual Total Budget Summary'!G40+'2b. Annual Total Budget Summary'!J40+'2b. Annual Total Budget Summary'!K40,IF(AND('3. Basic Input &amp; Assumptions'!$G$6="Yes",'3. Basic Input &amp; Assumptions'!$G$7="Yes",OR('3. Basic Input &amp; Assumptions'!$G$8="No",'3. Basic Input &amp; Assumptions'!$G$8=""),OR('3. Basic Input &amp; Assumptions'!$G$9="No",'3. Basic Input &amp; Assumptions'!$G$9="")),'2b. Annual Total Budget Summary'!E40+'2b. Annual Total Budget Summary'!F40+'2b. Annual Total Budget Summary'!J40+'2b. Annual Total Budget Summary'!K40,IF(AND('3. Basic Input &amp; Assumptions'!$G$6="Yes",OR('3. Basic Input &amp; Assumptions'!$G$7="No",'3. Basic Input &amp; Assumptions'!$G$7=""),OR('3. Basic Input &amp; Assumptions'!$G$8="No",'3. Basic Input &amp; Assumptions'!$G$8=""),OR('3. Basic Input &amp; Assumptions'!$G$9="No",'3. Basic Input &amp; Assumptions'!$G$9="")),'2b. Annual Total Budget Summary'!E40+'2b. Annual Total Budget Summary'!J40+'2b. Annual Total Budget Summary'!K40,IF(AND('3. Basic Input &amp; Assumptions'!$G$6="Yes",OR('3. Basic Input &amp; Assumptions'!$G$7="No",'3. Basic Input &amp; Assumptions'!$G$7=""),'3. Basic Input &amp; Assumptions'!$G$8="Yes",'3. Basic Input &amp; Assumptions'!$G$9="Yes"),'2b. Annual Total Budget Summary'!E40+'2b. Annual Total Budget Summary'!G40+'2b. Annual Total Budget Summary'!H40+'2b. Annual Total Budget Summary'!J40+'2b. Annual Total Budget Summary'!K40,IF(AND('3. Basic Input &amp; Assumptions'!$G$6="Yes",OR('3. Basic Input &amp; Assumptions'!$G$7="No",'3. Basic Input &amp; Assumptions'!$G$7=""),'3. Basic Input &amp; Assumptions'!$G$8="Yes",OR('3. Basic Input &amp; Assumptions'!$G$9="No",'3. Basic Input &amp; Assumptions'!$G$9="")),'2b. Annual Total Budget Summary'!E40+'2b. Annual Total Budget Summary'!G40+'2b. Annual Total Budget Summary'!J40+'2b. Annual Total Budget Summary'!K40,IF(AND('3. Basic Input &amp; Assumptions'!$G$6="Yes",OR('3. Basic Input &amp; Assumptions'!$G$7="No",'3. Basic Input &amp; Assumptions'!$G$7=""),OR('3. Basic Input &amp; Assumptions'!$G$8="No",'3. Basic Input &amp; Assumptions'!$G$8=""),'3. Basic Input &amp; Assumptions'!$G$9="Yes"),'2b. Annual Total Budget Summary'!E40+'2b. Annual Total Budget Summary'!H40+'2b. Annual Total Budget Summary'!J40+'2b. Annual Total Budget Summary'!K40,IF(AND('3. Basic Input &amp; Assumptions'!$G$6="Yes",'3. Basic Input &amp; Assumptions'!$G$7="Yes",OR('3. Basic Input &amp; Assumptions'!$G$8="No",'3. Basic Input &amp; Assumptions'!$G$8=""),'3. Basic Input &amp; Assumptions'!$G$9="Yes"),'2b. Annual Total Budget Summary'!E40+'2b. Annual Total Budget Summary'!F40+'2b. Annual Total Budget Summary'!H40+'2b. Annual Total Budget Summary'!J40+'2b. Annual Total Budget Summary'!K40,IF(AND(OR('3. Basic Input &amp; Assumptions'!$G$6="No",'3. Basic Input &amp; Assumptions'!$G$6=""),'3. Basic Input &amp; Assumptions'!$G$7="Yes",'3. Basic Input &amp; Assumptions'!$G$8="Yes",'3. Basic Input &amp; Assumptions'!$G$9="Yes"),'2b. Annual Total Budget Summary'!F40+'2b. Annual Total Budget Summary'!G40+'2b. Annual Total Budget Summary'!H40+'2b. Annual Total Budget Summary'!J40+'2b. Annual Total Budget Summary'!K40,IF(AND(OR('3. Basic Input &amp; Assumptions'!$G$6="No",'3. Basic Input &amp; Assumptions'!$G$6=""),'3. Basic Input &amp; Assumptions'!$G$7="Yes",'3. Basic Input &amp; Assumptions'!$G$8="Yes",OR('3. Basic Input &amp; Assumptions'!$G$9="No",'3. Basic Input &amp; Assumptions'!$G$9="")),'2b. Annual Total Budget Summary'!F40+'2b. Annual Total Budget Summary'!G40+'2b. Annual Total Budget Summary'!J40+'2b. Annual Total Budget Summary'!K40,IF(AND(OR('3. Basic Input &amp; Assumptions'!$G$6="No",'3. Basic Input &amp; Assumptions'!$G$6=""),'3. Basic Input &amp; Assumptions'!$G$7="Yes",OR('3. Basic Input &amp; Assumptions'!$G$8="No",'3. Basic Input &amp; Assumptions'!$G$8=""),'3. Basic Input &amp; Assumptions'!$G$9="Yes"),'2b. Annual Total Budget Summary'!F40+'2b. Annual Total Budget Summary'!H40+'2b. Annual Total Budget Summary'!J40+'2b. Annual Total Budget Summary'!K40,IF(AND(OR('3. Basic Input &amp; Assumptions'!$G$6="No",'3. Basic Input &amp; Assumptions'!$G$6=""),'3. Basic Input &amp; Assumptions'!$G$7="Yes",OR('3. Basic Input &amp; Assumptions'!$G$8="No",'3. Basic Input &amp; Assumptions'!$G$8=""),OR('3. Basic Input &amp; Assumptions'!$G$9="No",'3. Basic Input &amp; Assumptions'!$G$9="")),'2b. Annual Total Budget Summary'!F40+'2b. Annual Total Budget Summary'!J40+'2b. Annual Total Budget Summary'!K40,IF(AND(OR('3. Basic Input &amp; Assumptions'!$G$6="No",'3. Basic Input &amp; Assumptions'!$G$6=""),OR('3. Basic Input &amp; Assumptions'!$G$7="No",'3. Basic Input &amp; Assumptions'!$G$7=""),'3. Basic Input &amp; Assumptions'!$G$8="Yes",OR('3. Basic Input &amp; Assumptions'!$G$9="No",'3. Basic Input &amp; Assumptions'!$G$9="")),'2b. Annual Total Budget Summary'!G40+'2b. Annual Total Budget Summary'!J40+'2b. Annual Total Budget Summary'!K40,IF(AND(OR('3. Basic Input &amp; Assumptions'!$G$6="No",'3. Basic Input &amp; Assumptions'!$G$6=""),OR('3. Basic Input &amp; Assumptions'!$G$7="No",'3. Basic Input &amp; Assumptions'!$G$7=""),'3. Basic Input &amp; Assumptions'!$G$8="Yes",'3. Basic Input &amp; Assumptions'!$G$9="Yes"),'2b. Annual Total Budget Summary'!G40+'2b. Annual Total Budget Summary'!H40+'2b. Annual Total Budget Summary'!J40+'2b. Annual Total Budget Summary'!K40,IF(AND(OR('3. Basic Input &amp; Assumptions'!$G$6="No",'3. Basic Input &amp; Assumptions'!$G$6=""),OR('3. Basic Input &amp; Assumptions'!$G$7="No",'3. Basic Input &amp; Assumptions'!$G$7=""),OR('3. Basic Input &amp; Assumptions'!$G$8="No",'3. Basic Input &amp; Assumptions'!$G$8=""),'3. Basic Input &amp; Assumptions'!$G$9="Yes"),'2b. Annual Total Budget Summary'!H40+'2b. Annual Total Budget Summary'!J40+'2b. Annual Total Budget Summary'!K40,0)))))))))))))))</f>
        <v>0</v>
      </c>
      <c r="E40" s="318" t="str">
        <f>IF('3. Basic Input &amp; Assumptions'!$G$6="Yes",'4. ACT'!D81,"")</f>
        <v/>
      </c>
      <c r="F40" s="95" t="str">
        <f>IF('3. Basic Input &amp; Assumptions'!$G$7="Yes",'5. ICM'!D93,"")</f>
        <v/>
      </c>
      <c r="G40" s="95" t="str">
        <f>IF('3. Basic Input &amp; Assumptions'!$G$8="Yes",'6. TSS'!D86,"")</f>
        <v/>
      </c>
      <c r="H40" s="95" t="str">
        <f>IF('3. Basic Input &amp; Assumptions'!$G$9="Yes",'7. CTI'!D81,"")</f>
        <v/>
      </c>
      <c r="J40" s="201"/>
      <c r="K40" s="202"/>
    </row>
    <row r="41" spans="2:11">
      <c r="B41" s="106" t="s">
        <v>339</v>
      </c>
      <c r="C41" s="97"/>
      <c r="E41" s="315" t="str">
        <f>IF('3. Basic Input &amp; Assumptions'!G6="Yes",'4. ACT'!D82,"")</f>
        <v/>
      </c>
      <c r="F41" s="200" t="str">
        <f>IF('3. Basic Input &amp; Assumptions'!$G$7="Yes",'5. ICM'!D94,"")</f>
        <v/>
      </c>
      <c r="G41" s="200" t="str">
        <f>IF('3. Basic Input &amp; Assumptions'!$G$8="Yes",'6. TSS'!D87,"")</f>
        <v/>
      </c>
      <c r="H41" s="200" t="str">
        <f>IF('3. Basic Input &amp; Assumptions'!$G$9="Yes",'7. CTI'!D82,"")</f>
        <v/>
      </c>
      <c r="J41" s="195"/>
      <c r="K41" s="196"/>
    </row>
    <row r="42" spans="2:11">
      <c r="B42" s="107" t="s">
        <v>78</v>
      </c>
      <c r="C42" s="99">
        <f>IF(AND('3. Basic Input &amp; Assumptions'!$G$6="Yes",'3. Basic Input &amp; Assumptions'!$G$7="Yes",'3. Basic Input &amp; Assumptions'!$G$8="Yes",'3. Basic Input &amp; Assumptions'!$G$9="Yes"),'2b. Annual Total Budget Summary'!E42+'2b. Annual Total Budget Summary'!F42+'2b. Annual Total Budget Summary'!G42+'2b. Annual Total Budget Summary'!H42+'2b. Annual Total Budget Summary'!J42+'2b. Annual Total Budget Summary'!K42,IF(AND('3. Basic Input &amp; Assumptions'!$G$6="Yes",'3. Basic Input &amp; Assumptions'!$G$7="Yes",'3. Basic Input &amp; Assumptions'!$G$8="Yes",OR('3. Basic Input &amp; Assumptions'!$G$9="No",'3. Basic Input &amp; Assumptions'!$G$9="")),'2b. Annual Total Budget Summary'!E42+'2b. Annual Total Budget Summary'!F42+'2b. Annual Total Budget Summary'!G42+'2b. Annual Total Budget Summary'!J42+'2b. Annual Total Budget Summary'!K42,IF(AND('3. Basic Input &amp; Assumptions'!$G$6="Yes",'3. Basic Input &amp; Assumptions'!$G$7="Yes",OR('3. Basic Input &amp; Assumptions'!$G$8="No",'3. Basic Input &amp; Assumptions'!$G$8=""),OR('3. Basic Input &amp; Assumptions'!$G$9="No",'3. Basic Input &amp; Assumptions'!$G$9="")),'2b. Annual Total Budget Summary'!E42+'2b. Annual Total Budget Summary'!F42+'2b. Annual Total Budget Summary'!J42+'2b. Annual Total Budget Summary'!K42,IF(AND('3. Basic Input &amp; Assumptions'!$G$6="Yes",OR('3. Basic Input &amp; Assumptions'!$G$7="No",'3. Basic Input &amp; Assumptions'!$G$7=""),OR('3. Basic Input &amp; Assumptions'!$G$8="No",'3. Basic Input &amp; Assumptions'!$G$8=""),OR('3. Basic Input &amp; Assumptions'!$G$9="No",'3. Basic Input &amp; Assumptions'!$G$9="")),'2b. Annual Total Budget Summary'!E42+'2b. Annual Total Budget Summary'!J42+'2b. Annual Total Budget Summary'!K42,IF(AND('3. Basic Input &amp; Assumptions'!$G$6="Yes",OR('3. Basic Input &amp; Assumptions'!$G$7="No",'3. Basic Input &amp; Assumptions'!$G$7=""),'3. Basic Input &amp; Assumptions'!$G$8="Yes",'3. Basic Input &amp; Assumptions'!$G$9="Yes"),'2b. Annual Total Budget Summary'!E42+'2b. Annual Total Budget Summary'!G42+'2b. Annual Total Budget Summary'!H42+'2b. Annual Total Budget Summary'!J42+'2b. Annual Total Budget Summary'!K42,IF(AND('3. Basic Input &amp; Assumptions'!$G$6="Yes",OR('3. Basic Input &amp; Assumptions'!$G$7="No",'3. Basic Input &amp; Assumptions'!$G$7=""),'3. Basic Input &amp; Assumptions'!$G$8="Yes",OR('3. Basic Input &amp; Assumptions'!$G$9="No",'3. Basic Input &amp; Assumptions'!$G$9="")),'2b. Annual Total Budget Summary'!E42+'2b. Annual Total Budget Summary'!G42+'2b. Annual Total Budget Summary'!J42+'2b. Annual Total Budget Summary'!K42,IF(AND('3. Basic Input &amp; Assumptions'!$G$6="Yes",OR('3. Basic Input &amp; Assumptions'!$G$7="No",'3. Basic Input &amp; Assumptions'!$G$7=""),OR('3. Basic Input &amp; Assumptions'!$G$8="No",'3. Basic Input &amp; Assumptions'!$G$8=""),'3. Basic Input &amp; Assumptions'!$G$9="Yes"),'2b. Annual Total Budget Summary'!E42+'2b. Annual Total Budget Summary'!H42+'2b. Annual Total Budget Summary'!J42+'2b. Annual Total Budget Summary'!K42,IF(AND('3. Basic Input &amp; Assumptions'!$G$6="Yes",'3. Basic Input &amp; Assumptions'!$G$7="Yes",OR('3. Basic Input &amp; Assumptions'!$G$8="No",'3. Basic Input &amp; Assumptions'!$G$8=""),'3. Basic Input &amp; Assumptions'!$G$9="Yes"),'2b. Annual Total Budget Summary'!E42+'2b. Annual Total Budget Summary'!F42+'2b. Annual Total Budget Summary'!H42+'2b. Annual Total Budget Summary'!J42+'2b. Annual Total Budget Summary'!K42,IF(AND(OR('3. Basic Input &amp; Assumptions'!$G$6="No",'3. Basic Input &amp; Assumptions'!$G$6=""),'3. Basic Input &amp; Assumptions'!$G$7="Yes",'3. Basic Input &amp; Assumptions'!$G$8="Yes",'3. Basic Input &amp; Assumptions'!$G$9="Yes"),'2b. Annual Total Budget Summary'!F42+'2b. Annual Total Budget Summary'!G42+'2b. Annual Total Budget Summary'!H42+'2b. Annual Total Budget Summary'!J42+'2b. Annual Total Budget Summary'!K42,IF(AND(OR('3. Basic Input &amp; Assumptions'!$G$6="No",'3. Basic Input &amp; Assumptions'!$G$6=""),'3. Basic Input &amp; Assumptions'!$G$7="Yes",'3. Basic Input &amp; Assumptions'!$G$8="Yes",OR('3. Basic Input &amp; Assumptions'!$G$9="No",'3. Basic Input &amp; Assumptions'!$G$9="")),'2b. Annual Total Budget Summary'!F42+'2b. Annual Total Budget Summary'!G42+'2b. Annual Total Budget Summary'!J42+'2b. Annual Total Budget Summary'!K42,IF(AND(OR('3. Basic Input &amp; Assumptions'!$G$6="No",'3. Basic Input &amp; Assumptions'!$G$6=""),'3. Basic Input &amp; Assumptions'!$G$7="Yes",OR('3. Basic Input &amp; Assumptions'!$G$8="No",'3. Basic Input &amp; Assumptions'!$G$8=""),'3. Basic Input &amp; Assumptions'!$G$9="Yes"),'2b. Annual Total Budget Summary'!F42+'2b. Annual Total Budget Summary'!H42+'2b. Annual Total Budget Summary'!J42+'2b. Annual Total Budget Summary'!K42,IF(AND(OR('3. Basic Input &amp; Assumptions'!$G$6="No",'3. Basic Input &amp; Assumptions'!$G$6=""),'3. Basic Input &amp; Assumptions'!$G$7="Yes",OR('3. Basic Input &amp; Assumptions'!$G$8="No",'3. Basic Input &amp; Assumptions'!$G$8=""),OR('3. Basic Input &amp; Assumptions'!$G$9="No",'3. Basic Input &amp; Assumptions'!$G$9="")),'2b. Annual Total Budget Summary'!F42+'2b. Annual Total Budget Summary'!J42+'2b. Annual Total Budget Summary'!K42,IF(AND(OR('3. Basic Input &amp; Assumptions'!$G$6="No",'3. Basic Input &amp; Assumptions'!$G$6=""),OR('3. Basic Input &amp; Assumptions'!$G$7="No",'3. Basic Input &amp; Assumptions'!$G$7=""),'3. Basic Input &amp; Assumptions'!$G$8="Yes",OR('3. Basic Input &amp; Assumptions'!$G$9="No",'3. Basic Input &amp; Assumptions'!$G$9="")),'2b. Annual Total Budget Summary'!G42+'2b. Annual Total Budget Summary'!J42+'2b. Annual Total Budget Summary'!K42,IF(AND(OR('3. Basic Input &amp; Assumptions'!$G$6="No",'3. Basic Input &amp; Assumptions'!$G$6=""),OR('3. Basic Input &amp; Assumptions'!$G$7="No",'3. Basic Input &amp; Assumptions'!$G$7=""),'3. Basic Input &amp; Assumptions'!$G$8="Yes",'3. Basic Input &amp; Assumptions'!$G$9="Yes"),'2b. Annual Total Budget Summary'!G42+'2b. Annual Total Budget Summary'!H42+'2b. Annual Total Budget Summary'!J42+'2b. Annual Total Budget Summary'!K42,IF(AND(OR('3. Basic Input &amp; Assumptions'!$G$6="No",'3. Basic Input &amp; Assumptions'!$G$6=""),OR('3. Basic Input &amp; Assumptions'!$G$7="No",'3. Basic Input &amp; Assumptions'!$G$7=""),OR('3. Basic Input &amp; Assumptions'!$G$8="No",'3. Basic Input &amp; Assumptions'!$G$8=""),'3. Basic Input &amp; Assumptions'!$G$9="Yes"),'2b. Annual Total Budget Summary'!H42+'2b. Annual Total Budget Summary'!J42+'2b. Annual Total Budget Summary'!K42,0)))))))))))))))</f>
        <v>0</v>
      </c>
      <c r="E42" s="211" t="str">
        <f>IF('3. Basic Input &amp; Assumptions'!$G$6="Yes",'4. ACT'!D83,"")</f>
        <v/>
      </c>
      <c r="F42" s="212" t="str">
        <f>IF('3. Basic Input &amp; Assumptions'!$G$7="Yes",'5. ICM'!D95,"")</f>
        <v/>
      </c>
      <c r="G42" s="209" t="str">
        <f>IF('3. Basic Input &amp; Assumptions'!$G$8="Yes",'6. TSS'!D88,"")</f>
        <v/>
      </c>
      <c r="H42" s="212" t="str">
        <f>IF('3. Basic Input &amp; Assumptions'!$G$9="Yes",'7. CTI'!D83,"")</f>
        <v/>
      </c>
      <c r="J42" s="189">
        <f>IF('3. Basic Input &amp; Assumptions'!G12="Yes",SUM(J19:J40),0)</f>
        <v>0</v>
      </c>
      <c r="K42" s="115">
        <f>IF('3. Basic Input &amp; Assumptions'!G13="Yes",SUM('2b. Annual Total Budget Summary'!K19:K40),0)</f>
        <v>0</v>
      </c>
    </row>
    <row r="43" spans="2:11">
      <c r="B43" s="100"/>
      <c r="C43" s="101"/>
      <c r="E43" s="213"/>
      <c r="F43" s="101"/>
      <c r="G43" s="101"/>
      <c r="H43" s="101"/>
      <c r="J43" s="183"/>
      <c r="K43" s="114"/>
    </row>
    <row r="44" spans="2:11">
      <c r="B44" s="102" t="s">
        <v>79</v>
      </c>
      <c r="C44" s="95">
        <f>IF(AND('3. Basic Input &amp; Assumptions'!$G$6="Yes",'3. Basic Input &amp; Assumptions'!$G$7="Yes",'3. Basic Input &amp; Assumptions'!$G$8="Yes",'3. Basic Input &amp; Assumptions'!$G$9="Yes"),'2b. Annual Total Budget Summary'!E44+'2b. Annual Total Budget Summary'!F44+'2b. Annual Total Budget Summary'!G44+'2b. Annual Total Budget Summary'!H44+'2b. Annual Total Budget Summary'!J44+'2b. Annual Total Budget Summary'!K44,IF(AND('3. Basic Input &amp; Assumptions'!$G$6="Yes",'3. Basic Input &amp; Assumptions'!$G$7="Yes",'3. Basic Input &amp; Assumptions'!$G$8="Yes",OR('3. Basic Input &amp; Assumptions'!$G$9="No",'3. Basic Input &amp; Assumptions'!$G$9="")),'2b. Annual Total Budget Summary'!E44+'2b. Annual Total Budget Summary'!F44+'2b. Annual Total Budget Summary'!G44+'2b. Annual Total Budget Summary'!J44+'2b. Annual Total Budget Summary'!K44,IF(AND('3. Basic Input &amp; Assumptions'!$G$6="Yes",'3. Basic Input &amp; Assumptions'!$G$7="Yes",OR('3. Basic Input &amp; Assumptions'!$G$8="No",'3. Basic Input &amp; Assumptions'!$G$8=""),OR('3. Basic Input &amp; Assumptions'!$G$9="No",'3. Basic Input &amp; Assumptions'!$G$9="")),'2b. Annual Total Budget Summary'!E44+'2b. Annual Total Budget Summary'!F44+'2b. Annual Total Budget Summary'!J44+'2b. Annual Total Budget Summary'!K44,IF(AND('3. Basic Input &amp; Assumptions'!$G$6="Yes",OR('3. Basic Input &amp; Assumptions'!$G$7="No",'3. Basic Input &amp; Assumptions'!$G$7=""),OR('3. Basic Input &amp; Assumptions'!$G$8="No",'3. Basic Input &amp; Assumptions'!$G$8=""),OR('3. Basic Input &amp; Assumptions'!$G$9="No",'3. Basic Input &amp; Assumptions'!$G$9="")),'2b. Annual Total Budget Summary'!E44+'2b. Annual Total Budget Summary'!J44+'2b. Annual Total Budget Summary'!K44,IF(AND('3. Basic Input &amp; Assumptions'!$G$6="Yes",OR('3. Basic Input &amp; Assumptions'!$G$7="No",'3. Basic Input &amp; Assumptions'!$G$7=""),'3. Basic Input &amp; Assumptions'!$G$8="Yes",'3. Basic Input &amp; Assumptions'!$G$9="Yes"),'2b. Annual Total Budget Summary'!E44+'2b. Annual Total Budget Summary'!G44+'2b. Annual Total Budget Summary'!H44+'2b. Annual Total Budget Summary'!J44+'2b. Annual Total Budget Summary'!K44,IF(AND('3. Basic Input &amp; Assumptions'!$G$6="Yes",OR('3. Basic Input &amp; Assumptions'!$G$7="No",'3. Basic Input &amp; Assumptions'!$G$7=""),'3. Basic Input &amp; Assumptions'!$G$8="Yes",OR('3. Basic Input &amp; Assumptions'!$G$9="No",'3. Basic Input &amp; Assumptions'!$G$9="")),'2b. Annual Total Budget Summary'!E44+'2b. Annual Total Budget Summary'!G44+'2b. Annual Total Budget Summary'!J44+'2b. Annual Total Budget Summary'!K44,IF(AND('3. Basic Input &amp; Assumptions'!$G$6="Yes",OR('3. Basic Input &amp; Assumptions'!$G$7="No",'3. Basic Input &amp; Assumptions'!$G$7=""),OR('3. Basic Input &amp; Assumptions'!$G$8="No",'3. Basic Input &amp; Assumptions'!$G$8=""),'3. Basic Input &amp; Assumptions'!$G$9="Yes"),'2b. Annual Total Budget Summary'!E44+'2b. Annual Total Budget Summary'!H44+'2b. Annual Total Budget Summary'!J44+'2b. Annual Total Budget Summary'!K44,IF(AND('3. Basic Input &amp; Assumptions'!$G$6="Yes",'3. Basic Input &amp; Assumptions'!$G$7="Yes",OR('3. Basic Input &amp; Assumptions'!$G$8="No",'3. Basic Input &amp; Assumptions'!$G$8=""),'3. Basic Input &amp; Assumptions'!$G$9="Yes"),'2b. Annual Total Budget Summary'!E44+'2b. Annual Total Budget Summary'!F44+'2b. Annual Total Budget Summary'!H44+'2b. Annual Total Budget Summary'!J44+'2b. Annual Total Budget Summary'!K44,IF(AND(OR('3. Basic Input &amp; Assumptions'!$G$6="No",'3. Basic Input &amp; Assumptions'!$G$6=""),'3. Basic Input &amp; Assumptions'!$G$7="Yes",'3. Basic Input &amp; Assumptions'!$G$8="Yes",'3. Basic Input &amp; Assumptions'!$G$9="Yes"),'2b. Annual Total Budget Summary'!F44+'2b. Annual Total Budget Summary'!G44+'2b. Annual Total Budget Summary'!H44+'2b. Annual Total Budget Summary'!J44+'2b. Annual Total Budget Summary'!K44,IF(AND(OR('3. Basic Input &amp; Assumptions'!$G$6="No",'3. Basic Input &amp; Assumptions'!$G$6=""),'3. Basic Input &amp; Assumptions'!$G$7="Yes",'3. Basic Input &amp; Assumptions'!$G$8="Yes",OR('3. Basic Input &amp; Assumptions'!$G$9="No",'3. Basic Input &amp; Assumptions'!$G$9="")),'2b. Annual Total Budget Summary'!F44+'2b. Annual Total Budget Summary'!G44+'2b. Annual Total Budget Summary'!J44+'2b. Annual Total Budget Summary'!K44,IF(AND(OR('3. Basic Input &amp; Assumptions'!$G$6="No",'3. Basic Input &amp; Assumptions'!$G$6=""),'3. Basic Input &amp; Assumptions'!$G$7="Yes",OR('3. Basic Input &amp; Assumptions'!$G$8="No",'3. Basic Input &amp; Assumptions'!$G$8=""),'3. Basic Input &amp; Assumptions'!$G$9="Yes"),'2b. Annual Total Budget Summary'!F44+'2b. Annual Total Budget Summary'!H44+'2b. Annual Total Budget Summary'!J44+'2b. Annual Total Budget Summary'!K44,IF(AND(OR('3. Basic Input &amp; Assumptions'!$G$6="No",'3. Basic Input &amp; Assumptions'!$G$6=""),'3. Basic Input &amp; Assumptions'!$G$7="Yes",OR('3. Basic Input &amp; Assumptions'!$G$8="No",'3. Basic Input &amp; Assumptions'!$G$8=""),OR('3. Basic Input &amp; Assumptions'!$G$9="No",'3. Basic Input &amp; Assumptions'!$G$9="")),'2b. Annual Total Budget Summary'!F44+'2b. Annual Total Budget Summary'!J44+'2b. Annual Total Budget Summary'!K44,IF(AND(OR('3. Basic Input &amp; Assumptions'!$G$6="No",'3. Basic Input &amp; Assumptions'!$G$6=""),OR('3. Basic Input &amp; Assumptions'!$G$7="No",'3. Basic Input &amp; Assumptions'!$G$7=""),'3. Basic Input &amp; Assumptions'!$G$8="Yes",OR('3. Basic Input &amp; Assumptions'!$G$9="No",'3. Basic Input &amp; Assumptions'!$G$9="")),'2b. Annual Total Budget Summary'!G44+'2b. Annual Total Budget Summary'!J44+'2b. Annual Total Budget Summary'!K44,IF(AND(OR('3. Basic Input &amp; Assumptions'!$G$6="No",'3. Basic Input &amp; Assumptions'!$G$6=""),OR('3. Basic Input &amp; Assumptions'!$G$7="No",'3. Basic Input &amp; Assumptions'!$G$7=""),'3. Basic Input &amp; Assumptions'!$G$8="Yes",'3. Basic Input &amp; Assumptions'!$G$9="Yes"),'2b. Annual Total Budget Summary'!G44+'2b. Annual Total Budget Summary'!H44+'2b. Annual Total Budget Summary'!J44+'2b. Annual Total Budget Summary'!K44,IF(AND(OR('3. Basic Input &amp; Assumptions'!$G$6="No",'3. Basic Input &amp; Assumptions'!$G$6=""),OR('3. Basic Input &amp; Assumptions'!$G$7="No",'3. Basic Input &amp; Assumptions'!$G$7=""),OR('3. Basic Input &amp; Assumptions'!$G$8="No",'3. Basic Input &amp; Assumptions'!$G$8=""),'3. Basic Input &amp; Assumptions'!$G$9="Yes"),'2b. Annual Total Budget Summary'!H44+'2b. Annual Total Budget Summary'!J44+'2b. Annual Total Budget Summary'!K44,0)))))))))))))))</f>
        <v>0</v>
      </c>
      <c r="E44" s="215" t="str">
        <f>IF('3. Basic Input &amp; Assumptions'!$G$6="Yes",'4. ACT'!D85,"")</f>
        <v/>
      </c>
      <c r="F44" s="95" t="str">
        <f>IF('3. Basic Input &amp; Assumptions'!$G$7="Yes",'5. ICM'!D97,"")</f>
        <v/>
      </c>
      <c r="G44" s="95" t="str">
        <f>IF('3. Basic Input &amp; Assumptions'!$G$8="Yes",'6. TSS'!D90,"")</f>
        <v/>
      </c>
      <c r="H44" s="95" t="str">
        <f>IF('3. Basic Input &amp; Assumptions'!$G$9="Yes",'7. CTI'!D85,"")</f>
        <v/>
      </c>
      <c r="J44" s="184">
        <f>IF('3. Basic Input &amp; Assumptions'!G12="Yes",SUM(J16,J42),0)</f>
        <v>0</v>
      </c>
      <c r="K44" s="116">
        <f>IF('3. Basic Input &amp; Assumptions'!G13="Yes",'2b. Annual Total Budget Summary'!K16+'2b. Annual Total Budget Summary'!K42,0)</f>
        <v>52800</v>
      </c>
    </row>
    <row r="45" spans="2:11">
      <c r="B45" s="102" t="s">
        <v>80</v>
      </c>
      <c r="C45" s="95">
        <f>IF(AND('3. Basic Input &amp; Assumptions'!$G$6="Yes",'3. Basic Input &amp; Assumptions'!$G$7="Yes",'3. Basic Input &amp; Assumptions'!$G$8="Yes",'3. Basic Input &amp; Assumptions'!$G$9="Yes"),'2b. Annual Total Budget Summary'!E45+'2b. Annual Total Budget Summary'!F45+'2b. Annual Total Budget Summary'!G45+'2b. Annual Total Budget Summary'!H45+'2b. Annual Total Budget Summary'!J45+'2b. Annual Total Budget Summary'!K45,IF(AND('3. Basic Input &amp; Assumptions'!$G$6="Yes",'3. Basic Input &amp; Assumptions'!$G$7="Yes",'3. Basic Input &amp; Assumptions'!$G$8="Yes",OR('3. Basic Input &amp; Assumptions'!$G$9="No",'3. Basic Input &amp; Assumptions'!$G$9="")),'2b. Annual Total Budget Summary'!E45+'2b. Annual Total Budget Summary'!F45+'2b. Annual Total Budget Summary'!G45+'2b. Annual Total Budget Summary'!J45+'2b. Annual Total Budget Summary'!K45,IF(AND('3. Basic Input &amp; Assumptions'!$G$6="Yes",'3. Basic Input &amp; Assumptions'!$G$7="Yes",OR('3. Basic Input &amp; Assumptions'!$G$8="No",'3. Basic Input &amp; Assumptions'!$G$8=""),OR('3. Basic Input &amp; Assumptions'!$G$9="No",'3. Basic Input &amp; Assumptions'!$G$9="")),'2b. Annual Total Budget Summary'!E45+'2b. Annual Total Budget Summary'!F45+'2b. Annual Total Budget Summary'!J45+'2b. Annual Total Budget Summary'!K45,IF(AND('3. Basic Input &amp; Assumptions'!$G$6="Yes",OR('3. Basic Input &amp; Assumptions'!$G$7="No",'3. Basic Input &amp; Assumptions'!$G$7=""),OR('3. Basic Input &amp; Assumptions'!$G$8="No",'3. Basic Input &amp; Assumptions'!$G$8=""),OR('3. Basic Input &amp; Assumptions'!$G$9="No",'3. Basic Input &amp; Assumptions'!$G$9="")),'2b. Annual Total Budget Summary'!E45+'2b. Annual Total Budget Summary'!J45+'2b. Annual Total Budget Summary'!K45,IF(AND('3. Basic Input &amp; Assumptions'!$G$6="Yes",OR('3. Basic Input &amp; Assumptions'!$G$7="No",'3. Basic Input &amp; Assumptions'!$G$7=""),'3. Basic Input &amp; Assumptions'!$G$8="Yes",'3. Basic Input &amp; Assumptions'!$G$9="Yes"),'2b. Annual Total Budget Summary'!E45+'2b. Annual Total Budget Summary'!G45+'2b. Annual Total Budget Summary'!H45+'2b. Annual Total Budget Summary'!J45+'2b. Annual Total Budget Summary'!K45,IF(AND('3. Basic Input &amp; Assumptions'!$G$6="Yes",OR('3. Basic Input &amp; Assumptions'!$G$7="No",'3. Basic Input &amp; Assumptions'!$G$7=""),'3. Basic Input &amp; Assumptions'!$G$8="Yes",OR('3. Basic Input &amp; Assumptions'!$G$9="No",'3. Basic Input &amp; Assumptions'!$G$9="")),'2b. Annual Total Budget Summary'!E45+'2b. Annual Total Budget Summary'!G45+'2b. Annual Total Budget Summary'!J45+'2b. Annual Total Budget Summary'!K45,IF(AND('3. Basic Input &amp; Assumptions'!$G$6="Yes",OR('3. Basic Input &amp; Assumptions'!$G$7="No",'3. Basic Input &amp; Assumptions'!$G$7=""),OR('3. Basic Input &amp; Assumptions'!$G$8="No",'3. Basic Input &amp; Assumptions'!$G$8=""),'3. Basic Input &amp; Assumptions'!$G$9="Yes"),'2b. Annual Total Budget Summary'!E45+'2b. Annual Total Budget Summary'!H45+'2b. Annual Total Budget Summary'!J45+'2b. Annual Total Budget Summary'!K45,IF(AND('3. Basic Input &amp; Assumptions'!$G$6="Yes",'3. Basic Input &amp; Assumptions'!$G$7="Yes",OR('3. Basic Input &amp; Assumptions'!$G$8="No",'3. Basic Input &amp; Assumptions'!$G$8=""),'3. Basic Input &amp; Assumptions'!$G$9="Yes"),'2b. Annual Total Budget Summary'!E45+'2b. Annual Total Budget Summary'!F45+'2b. Annual Total Budget Summary'!H45+'2b. Annual Total Budget Summary'!J45+'2b. Annual Total Budget Summary'!K45,IF(AND(OR('3. Basic Input &amp; Assumptions'!$G$6="No",'3. Basic Input &amp; Assumptions'!$G$6=""),'3. Basic Input &amp; Assumptions'!$G$7="Yes",'3. Basic Input &amp; Assumptions'!$G$8="Yes",'3. Basic Input &amp; Assumptions'!$G$9="Yes"),'2b. Annual Total Budget Summary'!F45+'2b. Annual Total Budget Summary'!G45+'2b. Annual Total Budget Summary'!H45+'2b. Annual Total Budget Summary'!J45+'2b. Annual Total Budget Summary'!K45,IF(AND(OR('3. Basic Input &amp; Assumptions'!$G$6="No",'3. Basic Input &amp; Assumptions'!$G$6=""),'3. Basic Input &amp; Assumptions'!$G$7="Yes",'3. Basic Input &amp; Assumptions'!$G$8="Yes",OR('3. Basic Input &amp; Assumptions'!$G$9="No",'3. Basic Input &amp; Assumptions'!$G$9="")),'2b. Annual Total Budget Summary'!F45+'2b. Annual Total Budget Summary'!G45+'2b. Annual Total Budget Summary'!J45+'2b. Annual Total Budget Summary'!K45,IF(AND(OR('3. Basic Input &amp; Assumptions'!$G$6="No",'3. Basic Input &amp; Assumptions'!$G$6=""),'3. Basic Input &amp; Assumptions'!$G$7="Yes",OR('3. Basic Input &amp; Assumptions'!$G$8="No",'3. Basic Input &amp; Assumptions'!$G$8=""),'3. Basic Input &amp; Assumptions'!$G$9="Yes"),'2b. Annual Total Budget Summary'!F45+'2b. Annual Total Budget Summary'!H45+'2b. Annual Total Budget Summary'!J45+'2b. Annual Total Budget Summary'!K45,IF(AND(OR('3. Basic Input &amp; Assumptions'!$G$6="No",'3. Basic Input &amp; Assumptions'!$G$6=""),'3. Basic Input &amp; Assumptions'!$G$7="Yes",OR('3. Basic Input &amp; Assumptions'!$G$8="No",'3. Basic Input &amp; Assumptions'!$G$8=""),OR('3. Basic Input &amp; Assumptions'!$G$9="No",'3. Basic Input &amp; Assumptions'!$G$9="")),'2b. Annual Total Budget Summary'!F45+'2b. Annual Total Budget Summary'!J45+'2b. Annual Total Budget Summary'!K45,IF(AND(OR('3. Basic Input &amp; Assumptions'!$G$6="No",'3. Basic Input &amp; Assumptions'!$G$6=""),OR('3. Basic Input &amp; Assumptions'!$G$7="No",'3. Basic Input &amp; Assumptions'!$G$7=""),'3. Basic Input &amp; Assumptions'!$G$8="Yes",OR('3. Basic Input &amp; Assumptions'!$G$9="No",'3. Basic Input &amp; Assumptions'!$G$9="")),'2b. Annual Total Budget Summary'!G45+'2b. Annual Total Budget Summary'!J45+'2b. Annual Total Budget Summary'!K45,IF(AND(OR('3. Basic Input &amp; Assumptions'!$G$6="No",'3. Basic Input &amp; Assumptions'!$G$6=""),OR('3. Basic Input &amp; Assumptions'!$G$7="No",'3. Basic Input &amp; Assumptions'!$G$7=""),'3. Basic Input &amp; Assumptions'!$G$8="Yes",'3. Basic Input &amp; Assumptions'!$G$9="Yes"),'2b. Annual Total Budget Summary'!G45+'2b. Annual Total Budget Summary'!H45+'2b. Annual Total Budget Summary'!J45+'2b. Annual Total Budget Summary'!K45,IF(AND(OR('3. Basic Input &amp; Assumptions'!$G$6="No",'3. Basic Input &amp; Assumptions'!$G$6=""),OR('3. Basic Input &amp; Assumptions'!$G$7="No",'3. Basic Input &amp; Assumptions'!$G$7=""),OR('3. Basic Input &amp; Assumptions'!$G$8="No",'3. Basic Input &amp; Assumptions'!$G$8=""),'3. Basic Input &amp; Assumptions'!$G$9="Yes"),'2b. Annual Total Budget Summary'!H45+'2b. Annual Total Budget Summary'!J45+'2b. Annual Total Budget Summary'!K45,0)))))))))))))))</f>
        <v>0</v>
      </c>
      <c r="E45" s="215" t="str">
        <f>IF('3. Basic Input &amp; Assumptions'!$G$6="Yes",'4. ACT'!D86,"")</f>
        <v/>
      </c>
      <c r="F45" s="95" t="str">
        <f>IF('3. Basic Input &amp; Assumptions'!$G$7="Yes",'5. ICM'!D98,"")</f>
        <v/>
      </c>
      <c r="G45" s="95" t="str">
        <f>IF('3. Basic Input &amp; Assumptions'!$G$8="Yes",'6. TSS'!D91,"")</f>
        <v/>
      </c>
      <c r="H45" s="95" t="str">
        <f>IF('3. Basic Input &amp; Assumptions'!$G$9="Yes",'7. CTI'!D86,"")</f>
        <v/>
      </c>
      <c r="J45" s="184">
        <f>IF('3. Basic Input &amp; Assumptions'!G12="Yes",J44*'3. Basic Input &amp; Assumptions'!$K$15,0)</f>
        <v>0</v>
      </c>
      <c r="K45" s="116">
        <f>IF('3. Basic Input &amp; Assumptions'!G13="Yes",'2b. Annual Total Budget Summary'!K44*'3. Basic Input &amp; Assumptions'!K15,0)</f>
        <v>7920</v>
      </c>
    </row>
    <row r="46" spans="2:11">
      <c r="B46" s="93" t="s">
        <v>81</v>
      </c>
      <c r="C46" s="99">
        <f>IF(AND('3. Basic Input &amp; Assumptions'!$G$6="Yes",'3. Basic Input &amp; Assumptions'!$G$7="Yes",'3. Basic Input &amp; Assumptions'!$G$8="Yes",'3. Basic Input &amp; Assumptions'!$G$9="Yes"),'2b. Annual Total Budget Summary'!E46+'2b. Annual Total Budget Summary'!F46+'2b. Annual Total Budget Summary'!G46+'2b. Annual Total Budget Summary'!H46+'2b. Annual Total Budget Summary'!J46+'2b. Annual Total Budget Summary'!K46,IF(AND('3. Basic Input &amp; Assumptions'!$G$6="Yes",'3. Basic Input &amp; Assumptions'!$G$7="Yes",'3. Basic Input &amp; Assumptions'!$G$8="Yes",OR('3. Basic Input &amp; Assumptions'!$G$9="No",'3. Basic Input &amp; Assumptions'!$G$9="")),'2b. Annual Total Budget Summary'!E46+'2b. Annual Total Budget Summary'!F46+'2b. Annual Total Budget Summary'!G46+'2b. Annual Total Budget Summary'!J46+'2b. Annual Total Budget Summary'!K46,IF(AND('3. Basic Input &amp; Assumptions'!$G$6="Yes",'3. Basic Input &amp; Assumptions'!$G$7="Yes",OR('3. Basic Input &amp; Assumptions'!$G$8="No",'3. Basic Input &amp; Assumptions'!$G$8=""),OR('3. Basic Input &amp; Assumptions'!$G$9="No",'3. Basic Input &amp; Assumptions'!$G$9="")),'2b. Annual Total Budget Summary'!E46+'2b. Annual Total Budget Summary'!F46+'2b. Annual Total Budget Summary'!J46+'2b. Annual Total Budget Summary'!K46,IF(AND('3. Basic Input &amp; Assumptions'!$G$6="Yes",OR('3. Basic Input &amp; Assumptions'!$G$7="No",'3. Basic Input &amp; Assumptions'!$G$7=""),OR('3. Basic Input &amp; Assumptions'!$G$8="No",'3. Basic Input &amp; Assumptions'!$G$8=""),OR('3. Basic Input &amp; Assumptions'!$G$9="No",'3. Basic Input &amp; Assumptions'!$G$9="")),'2b. Annual Total Budget Summary'!E46+'2b. Annual Total Budget Summary'!J46+'2b. Annual Total Budget Summary'!K46,IF(AND('3. Basic Input &amp; Assumptions'!$G$6="Yes",OR('3. Basic Input &amp; Assumptions'!$G$7="No",'3. Basic Input &amp; Assumptions'!$G$7=""),'3. Basic Input &amp; Assumptions'!$G$8="Yes",'3. Basic Input &amp; Assumptions'!$G$9="Yes"),'2b. Annual Total Budget Summary'!E46+'2b. Annual Total Budget Summary'!G46+'2b. Annual Total Budget Summary'!H46+'2b. Annual Total Budget Summary'!J46+'2b. Annual Total Budget Summary'!K46,IF(AND('3. Basic Input &amp; Assumptions'!$G$6="Yes",OR('3. Basic Input &amp; Assumptions'!$G$7="No",'3. Basic Input &amp; Assumptions'!$G$7=""),'3. Basic Input &amp; Assumptions'!$G$8="Yes",OR('3. Basic Input &amp; Assumptions'!$G$9="No",'3. Basic Input &amp; Assumptions'!$G$9="")),'2b. Annual Total Budget Summary'!E46+'2b. Annual Total Budget Summary'!G46+'2b. Annual Total Budget Summary'!J46+'2b. Annual Total Budget Summary'!K46,IF(AND('3. Basic Input &amp; Assumptions'!$G$6="Yes",OR('3. Basic Input &amp; Assumptions'!$G$7="No",'3. Basic Input &amp; Assumptions'!$G$7=""),OR('3. Basic Input &amp; Assumptions'!$G$8="No",'3. Basic Input &amp; Assumptions'!$G$8=""),'3. Basic Input &amp; Assumptions'!$G$9="Yes"),'2b. Annual Total Budget Summary'!E46+'2b. Annual Total Budget Summary'!H46+'2b. Annual Total Budget Summary'!J46+'2b. Annual Total Budget Summary'!K46,IF(AND('3. Basic Input &amp; Assumptions'!$G$6="Yes",'3. Basic Input &amp; Assumptions'!$G$7="Yes",OR('3. Basic Input &amp; Assumptions'!$G$8="No",'3. Basic Input &amp; Assumptions'!$G$8=""),'3. Basic Input &amp; Assumptions'!$G$9="Yes"),'2b. Annual Total Budget Summary'!E46+'2b. Annual Total Budget Summary'!F46+'2b. Annual Total Budget Summary'!H46+'2b. Annual Total Budget Summary'!J46+'2b. Annual Total Budget Summary'!K46,IF(AND(OR('3. Basic Input &amp; Assumptions'!$G$6="No",'3. Basic Input &amp; Assumptions'!$G$6=""),'3. Basic Input &amp; Assumptions'!$G$7="Yes",'3. Basic Input &amp; Assumptions'!$G$8="Yes",'3. Basic Input &amp; Assumptions'!$G$9="Yes"),'2b. Annual Total Budget Summary'!F46+'2b. Annual Total Budget Summary'!G46+'2b. Annual Total Budget Summary'!H46+'2b. Annual Total Budget Summary'!J46+'2b. Annual Total Budget Summary'!K46,IF(AND(OR('3. Basic Input &amp; Assumptions'!$G$6="No",'3. Basic Input &amp; Assumptions'!$G$6=""),'3. Basic Input &amp; Assumptions'!$G$7="Yes",'3. Basic Input &amp; Assumptions'!$G$8="Yes",OR('3. Basic Input &amp; Assumptions'!$G$9="No",'3. Basic Input &amp; Assumptions'!$G$9="")),'2b. Annual Total Budget Summary'!F46+'2b. Annual Total Budget Summary'!G46+'2b. Annual Total Budget Summary'!J46+'2b. Annual Total Budget Summary'!K46,IF(AND(OR('3. Basic Input &amp; Assumptions'!$G$6="No",'3. Basic Input &amp; Assumptions'!$G$6=""),'3. Basic Input &amp; Assumptions'!$G$7="Yes",OR('3. Basic Input &amp; Assumptions'!$G$8="No",'3. Basic Input &amp; Assumptions'!$G$8=""),'3. Basic Input &amp; Assumptions'!$G$9="Yes"),'2b. Annual Total Budget Summary'!F46+'2b. Annual Total Budget Summary'!H46+'2b. Annual Total Budget Summary'!J46+'2b. Annual Total Budget Summary'!K46,IF(AND(OR('3. Basic Input &amp; Assumptions'!$G$6="No",'3. Basic Input &amp; Assumptions'!$G$6=""),'3. Basic Input &amp; Assumptions'!$G$7="Yes",OR('3. Basic Input &amp; Assumptions'!$G$8="No",'3. Basic Input &amp; Assumptions'!$G$8=""),OR('3. Basic Input &amp; Assumptions'!$G$9="No",'3. Basic Input &amp; Assumptions'!$G$9="")),'2b. Annual Total Budget Summary'!F46+'2b. Annual Total Budget Summary'!J46+'2b. Annual Total Budget Summary'!K46,IF(AND(OR('3. Basic Input &amp; Assumptions'!$G$6="No",'3. Basic Input &amp; Assumptions'!$G$6=""),OR('3. Basic Input &amp; Assumptions'!$G$7="No",'3. Basic Input &amp; Assumptions'!$G$7=""),'3. Basic Input &amp; Assumptions'!$G$8="Yes",OR('3. Basic Input &amp; Assumptions'!$G$9="No",'3. Basic Input &amp; Assumptions'!$G$9="")),'2b. Annual Total Budget Summary'!G46+'2b. Annual Total Budget Summary'!J46+'2b. Annual Total Budget Summary'!K46,IF(AND(OR('3. Basic Input &amp; Assumptions'!$G$6="No",'3. Basic Input &amp; Assumptions'!$G$6=""),OR('3. Basic Input &amp; Assumptions'!$G$7="No",'3. Basic Input &amp; Assumptions'!$G$7=""),'3. Basic Input &amp; Assumptions'!$G$8="Yes",'3. Basic Input &amp; Assumptions'!$G$9="Yes"),'2b. Annual Total Budget Summary'!G46+'2b. Annual Total Budget Summary'!H46+'2b. Annual Total Budget Summary'!J46+'2b. Annual Total Budget Summary'!K46,IF(AND(OR('3. Basic Input &amp; Assumptions'!$G$6="No",'3. Basic Input &amp; Assumptions'!$G$6=""),OR('3. Basic Input &amp; Assumptions'!$G$7="No",'3. Basic Input &amp; Assumptions'!$G$7=""),OR('3. Basic Input &amp; Assumptions'!$G$8="No",'3. Basic Input &amp; Assumptions'!$G$8=""),'3. Basic Input &amp; Assumptions'!$G$9="Yes"),'2b. Annual Total Budget Summary'!H46+'2b. Annual Total Budget Summary'!J46+'2b. Annual Total Budget Summary'!K46,0)))))))))))))))</f>
        <v>0</v>
      </c>
      <c r="E46" s="211" t="str">
        <f>IF('3. Basic Input &amp; Assumptions'!$G$6="Yes",'4. ACT'!D87,"")</f>
        <v/>
      </c>
      <c r="F46" s="95" t="str">
        <f>IF('3. Basic Input &amp; Assumptions'!$G$7="Yes",'5. ICM'!D99,"")</f>
        <v/>
      </c>
      <c r="G46" s="95" t="str">
        <f>IF('3. Basic Input &amp; Assumptions'!$G$8="Yes",'6. TSS'!D92,"")</f>
        <v/>
      </c>
      <c r="H46" s="99" t="str">
        <f>IF('3. Basic Input &amp; Assumptions'!$G$9="Yes",'7. CTI'!D87,"")</f>
        <v/>
      </c>
      <c r="J46" s="189">
        <f>IF('3. Basic Input &amp; Assumptions'!G12="Yes",SUM(J44:J45),0)</f>
        <v>0</v>
      </c>
      <c r="K46" s="115">
        <f>IF('3. Basic Input &amp; Assumptions'!G13="Yes",'2b. Annual Total Budget Summary'!K44+'2b. Annual Total Budget Summary'!K45,0)</f>
        <v>60720</v>
      </c>
    </row>
    <row r="47" spans="2:11">
      <c r="B47" s="108"/>
      <c r="C47" s="101"/>
      <c r="E47" s="213"/>
      <c r="F47" s="101"/>
      <c r="G47" s="101"/>
      <c r="H47" s="101"/>
      <c r="J47" s="183"/>
      <c r="K47" s="114"/>
    </row>
    <row r="48" spans="2:11" ht="16.5" thickBot="1">
      <c r="B48" s="120" t="s">
        <v>82</v>
      </c>
      <c r="C48" s="121"/>
      <c r="E48" s="214"/>
      <c r="F48" s="121"/>
      <c r="G48" s="121"/>
      <c r="H48" s="121"/>
      <c r="J48" s="188"/>
      <c r="K48" s="118"/>
    </row>
    <row r="49" spans="2:11" ht="16.5" thickTop="1">
      <c r="B49" s="119" t="s">
        <v>83</v>
      </c>
      <c r="C49" s="99">
        <f>IF(AND('3. Basic Input &amp; Assumptions'!$G$6="Yes",'3. Basic Input &amp; Assumptions'!$G$7="Yes",'3. Basic Input &amp; Assumptions'!$G$8="Yes",'3. Basic Input &amp; Assumptions'!$G$9="Yes"),'2b. Annual Total Budget Summary'!E49+'2b. Annual Total Budget Summary'!F49+'2b. Annual Total Budget Summary'!G49+'2b. Annual Total Budget Summary'!H49+'2b. Annual Total Budget Summary'!J49+'2b. Annual Total Budget Summary'!K49,IF(AND('3. Basic Input &amp; Assumptions'!$G$6="Yes",'3. Basic Input &amp; Assumptions'!$G$7="Yes",'3. Basic Input &amp; Assumptions'!$G$8="Yes",OR('3. Basic Input &amp; Assumptions'!$G$9="No",'3. Basic Input &amp; Assumptions'!$G$9="")),'2b. Annual Total Budget Summary'!E49+'2b. Annual Total Budget Summary'!F49+'2b. Annual Total Budget Summary'!G49+'2b. Annual Total Budget Summary'!J49+'2b. Annual Total Budget Summary'!K49,IF(AND('3. Basic Input &amp; Assumptions'!$G$6="Yes",'3. Basic Input &amp; Assumptions'!$G$7="Yes",OR('3. Basic Input &amp; Assumptions'!$G$8="No",'3. Basic Input &amp; Assumptions'!$G$8=""),OR('3. Basic Input &amp; Assumptions'!$G$9="No",'3. Basic Input &amp; Assumptions'!$G$9="")),'2b. Annual Total Budget Summary'!E49+'2b. Annual Total Budget Summary'!F49+'2b. Annual Total Budget Summary'!J49+'2b. Annual Total Budget Summary'!K49,IF(AND('3. Basic Input &amp; Assumptions'!$G$6="Yes",OR('3. Basic Input &amp; Assumptions'!$G$7="No",'3. Basic Input &amp; Assumptions'!$G$7=""),OR('3. Basic Input &amp; Assumptions'!$G$8="No",'3. Basic Input &amp; Assumptions'!$G$8=""),OR('3. Basic Input &amp; Assumptions'!$G$9="No",'3. Basic Input &amp; Assumptions'!$G$9="")),'2b. Annual Total Budget Summary'!E49+'2b. Annual Total Budget Summary'!J49+'2b. Annual Total Budget Summary'!K49,IF(AND('3. Basic Input &amp; Assumptions'!$G$6="Yes",OR('3. Basic Input &amp; Assumptions'!$G$7="No",'3. Basic Input &amp; Assumptions'!$G$7=""),'3. Basic Input &amp; Assumptions'!$G$8="Yes",'3. Basic Input &amp; Assumptions'!$G$9="Yes"),'2b. Annual Total Budget Summary'!E49+'2b. Annual Total Budget Summary'!G49+'2b. Annual Total Budget Summary'!H49+'2b. Annual Total Budget Summary'!J49+'2b. Annual Total Budget Summary'!K49,IF(AND('3. Basic Input &amp; Assumptions'!$G$6="Yes",OR('3. Basic Input &amp; Assumptions'!$G$7="No",'3. Basic Input &amp; Assumptions'!$G$7=""),'3. Basic Input &amp; Assumptions'!$G$8="Yes",OR('3. Basic Input &amp; Assumptions'!$G$9="No",'3. Basic Input &amp; Assumptions'!$G$9="")),'2b. Annual Total Budget Summary'!E49+'2b. Annual Total Budget Summary'!G49+'2b. Annual Total Budget Summary'!J49+'2b. Annual Total Budget Summary'!K49,IF(AND('3. Basic Input &amp; Assumptions'!$G$6="Yes",OR('3. Basic Input &amp; Assumptions'!$G$7="No",'3. Basic Input &amp; Assumptions'!$G$7=""),OR('3. Basic Input &amp; Assumptions'!$G$8="No",'3. Basic Input &amp; Assumptions'!$G$8=""),'3. Basic Input &amp; Assumptions'!$G$9="Yes"),'2b. Annual Total Budget Summary'!E49+'2b. Annual Total Budget Summary'!H49+'2b. Annual Total Budget Summary'!J49+'2b. Annual Total Budget Summary'!K49,IF(AND('3. Basic Input &amp; Assumptions'!$G$6="Yes",'3. Basic Input &amp; Assumptions'!$G$7="Yes",OR('3. Basic Input &amp; Assumptions'!$G$8="No",'3. Basic Input &amp; Assumptions'!$G$8=""),'3. Basic Input &amp; Assumptions'!$G$9="Yes"),'2b. Annual Total Budget Summary'!E49+'2b. Annual Total Budget Summary'!F49+'2b. Annual Total Budget Summary'!H49+'2b. Annual Total Budget Summary'!J49+'2b. Annual Total Budget Summary'!K49,IF(AND(OR('3. Basic Input &amp; Assumptions'!$G$6="No",'3. Basic Input &amp; Assumptions'!$G$6=""),'3. Basic Input &amp; Assumptions'!$G$7="Yes",'3. Basic Input &amp; Assumptions'!$G$8="Yes",'3. Basic Input &amp; Assumptions'!$G$9="Yes"),'2b. Annual Total Budget Summary'!F49+'2b. Annual Total Budget Summary'!G49+'2b. Annual Total Budget Summary'!H49+'2b. Annual Total Budget Summary'!J49+'2b. Annual Total Budget Summary'!K49,IF(AND(OR('3. Basic Input &amp; Assumptions'!$G$6="No",'3. Basic Input &amp; Assumptions'!$G$6=""),'3. Basic Input &amp; Assumptions'!$G$7="Yes",'3. Basic Input &amp; Assumptions'!$G$8="Yes",OR('3. Basic Input &amp; Assumptions'!$G$9="No",'3. Basic Input &amp; Assumptions'!$G$9="")),'2b. Annual Total Budget Summary'!F49+'2b. Annual Total Budget Summary'!G49+'2b. Annual Total Budget Summary'!J49+'2b. Annual Total Budget Summary'!K49,IF(AND(OR('3. Basic Input &amp; Assumptions'!$G$6="No",'3. Basic Input &amp; Assumptions'!$G$6=""),'3. Basic Input &amp; Assumptions'!$G$7="Yes",OR('3. Basic Input &amp; Assumptions'!$G$8="No",'3. Basic Input &amp; Assumptions'!$G$8=""),'3. Basic Input &amp; Assumptions'!$G$9="Yes"),'2b. Annual Total Budget Summary'!F49+'2b. Annual Total Budget Summary'!H49+'2b. Annual Total Budget Summary'!J49+'2b. Annual Total Budget Summary'!K49,IF(AND(OR('3. Basic Input &amp; Assumptions'!$G$6="No",'3. Basic Input &amp; Assumptions'!$G$6=""),'3. Basic Input &amp; Assumptions'!$G$7="Yes",OR('3. Basic Input &amp; Assumptions'!$G$8="No",'3. Basic Input &amp; Assumptions'!$G$8=""),OR('3. Basic Input &amp; Assumptions'!$G$9="No",'3. Basic Input &amp; Assumptions'!$G$9="")),'2b. Annual Total Budget Summary'!F49+'2b. Annual Total Budget Summary'!J49+'2b. Annual Total Budget Summary'!K49,IF(AND(OR('3. Basic Input &amp; Assumptions'!$G$6="No",'3. Basic Input &amp; Assumptions'!$G$6=""),OR('3. Basic Input &amp; Assumptions'!$G$7="No",'3. Basic Input &amp; Assumptions'!$G$7=""),'3. Basic Input &amp; Assumptions'!$G$8="Yes",OR('3. Basic Input &amp; Assumptions'!$G$9="No",'3. Basic Input &amp; Assumptions'!$G$9="")),'2b. Annual Total Budget Summary'!G49+'2b. Annual Total Budget Summary'!J49+'2b. Annual Total Budget Summary'!K49,IF(AND(OR('3. Basic Input &amp; Assumptions'!$G$6="No",'3. Basic Input &amp; Assumptions'!$G$6=""),OR('3. Basic Input &amp; Assumptions'!$G$7="No",'3. Basic Input &amp; Assumptions'!$G$7=""),'3. Basic Input &amp; Assumptions'!$G$8="Yes",'3. Basic Input &amp; Assumptions'!$G$9="Yes"),'2b. Annual Total Budget Summary'!G49+'2b. Annual Total Budget Summary'!H49+'2b. Annual Total Budget Summary'!J49+'2b. Annual Total Budget Summary'!K49,IF(AND(OR('3. Basic Input &amp; Assumptions'!$G$6="No",'3. Basic Input &amp; Assumptions'!$G$6=""),OR('3. Basic Input &amp; Assumptions'!$G$7="No",'3. Basic Input &amp; Assumptions'!$G$7=""),OR('3. Basic Input &amp; Assumptions'!$G$8="No",'3. Basic Input &amp; Assumptions'!$G$8=""),'3. Basic Input &amp; Assumptions'!$G$9="Yes"),'2b. Annual Total Budget Summary'!H49+'2b. Annual Total Budget Summary'!J49+'2b. Annual Total Budget Summary'!K49,0)))))))))))))))</f>
        <v>0</v>
      </c>
      <c r="E49" s="211" t="str">
        <f>IF('3. Basic Input &amp; Assumptions'!$G$6="Yes",'4. ACT'!D90,"")</f>
        <v/>
      </c>
      <c r="F49" s="99" t="str">
        <f>IF('3. Basic Input &amp; Assumptions'!$G$7="Yes",'5. ICM'!D102,"")</f>
        <v/>
      </c>
      <c r="G49" s="99" t="str">
        <f>IF('3. Basic Input &amp; Assumptions'!$G$8="Yes",'6. TSS'!D95,"")</f>
        <v/>
      </c>
      <c r="H49" s="99" t="str">
        <f>IF('3. Basic Input &amp; Assumptions'!$G$9="Yes",'7. CTI'!D90,"")</f>
        <v/>
      </c>
      <c r="J49" s="182"/>
      <c r="K49" s="190"/>
    </row>
    <row r="50" spans="2:11">
      <c r="B50" s="94" t="s">
        <v>31</v>
      </c>
      <c r="C50" s="95">
        <f>IF(AND('3. Basic Input &amp; Assumptions'!$G$6="Yes",'3. Basic Input &amp; Assumptions'!$G$7="Yes",'3. Basic Input &amp; Assumptions'!$G$8="Yes",'3. Basic Input &amp; Assumptions'!$G$9="Yes"),'2b. Annual Total Budget Summary'!E50+'2b. Annual Total Budget Summary'!F50+'2b. Annual Total Budget Summary'!G50+'2b. Annual Total Budget Summary'!H50+'2b. Annual Total Budget Summary'!J50+'2b. Annual Total Budget Summary'!K50,IF(AND('3. Basic Input &amp; Assumptions'!$G$6="Yes",'3. Basic Input &amp; Assumptions'!$G$7="Yes",'3. Basic Input &amp; Assumptions'!$G$8="Yes",OR('3. Basic Input &amp; Assumptions'!$G$9="No",'3. Basic Input &amp; Assumptions'!$G$9="")),'2b. Annual Total Budget Summary'!E50+'2b. Annual Total Budget Summary'!F50+'2b. Annual Total Budget Summary'!G50+'2b. Annual Total Budget Summary'!J50+'2b. Annual Total Budget Summary'!K50,IF(AND('3. Basic Input &amp; Assumptions'!$G$6="Yes",'3. Basic Input &amp; Assumptions'!$G$7="Yes",OR('3. Basic Input &amp; Assumptions'!$G$8="No",'3. Basic Input &amp; Assumptions'!$G$8=""),OR('3. Basic Input &amp; Assumptions'!$G$9="No",'3. Basic Input &amp; Assumptions'!$G$9="")),'2b. Annual Total Budget Summary'!E50+'2b. Annual Total Budget Summary'!F50+'2b. Annual Total Budget Summary'!J50+'2b. Annual Total Budget Summary'!K50,IF(AND('3. Basic Input &amp; Assumptions'!$G$6="Yes",OR('3. Basic Input &amp; Assumptions'!$G$7="No",'3. Basic Input &amp; Assumptions'!$G$7=""),OR('3. Basic Input &amp; Assumptions'!$G$8="No",'3. Basic Input &amp; Assumptions'!$G$8=""),OR('3. Basic Input &amp; Assumptions'!$G$9="No",'3. Basic Input &amp; Assumptions'!$G$9="")),'2b. Annual Total Budget Summary'!E50+'2b. Annual Total Budget Summary'!J50+'2b. Annual Total Budget Summary'!K50,IF(AND('3. Basic Input &amp; Assumptions'!$G$6="Yes",OR('3. Basic Input &amp; Assumptions'!$G$7="No",'3. Basic Input &amp; Assumptions'!$G$7=""),'3. Basic Input &amp; Assumptions'!$G$8="Yes",'3. Basic Input &amp; Assumptions'!$G$9="Yes"),'2b. Annual Total Budget Summary'!E50+'2b. Annual Total Budget Summary'!G50+'2b. Annual Total Budget Summary'!H50+'2b. Annual Total Budget Summary'!J50+'2b. Annual Total Budget Summary'!K50,IF(AND('3. Basic Input &amp; Assumptions'!$G$6="Yes",OR('3. Basic Input &amp; Assumptions'!$G$7="No",'3. Basic Input &amp; Assumptions'!$G$7=""),'3. Basic Input &amp; Assumptions'!$G$8="Yes",OR('3. Basic Input &amp; Assumptions'!$G$9="No",'3. Basic Input &amp; Assumptions'!$G$9="")),'2b. Annual Total Budget Summary'!E50+'2b. Annual Total Budget Summary'!G50+'2b. Annual Total Budget Summary'!J50+'2b. Annual Total Budget Summary'!K50,IF(AND('3. Basic Input &amp; Assumptions'!$G$6="Yes",OR('3. Basic Input &amp; Assumptions'!$G$7="No",'3. Basic Input &amp; Assumptions'!$G$7=""),OR('3. Basic Input &amp; Assumptions'!$G$8="No",'3. Basic Input &amp; Assumptions'!$G$8=""),'3. Basic Input &amp; Assumptions'!$G$9="Yes"),'2b. Annual Total Budget Summary'!E50+'2b. Annual Total Budget Summary'!H50+'2b. Annual Total Budget Summary'!J50+'2b. Annual Total Budget Summary'!K50,IF(AND('3. Basic Input &amp; Assumptions'!$G$6="Yes",'3. Basic Input &amp; Assumptions'!$G$7="Yes",OR('3. Basic Input &amp; Assumptions'!$G$8="No",'3. Basic Input &amp; Assumptions'!$G$8=""),'3. Basic Input &amp; Assumptions'!$G$9="Yes"),'2b. Annual Total Budget Summary'!E50+'2b. Annual Total Budget Summary'!F50+'2b. Annual Total Budget Summary'!H50+'2b. Annual Total Budget Summary'!J50+'2b. Annual Total Budget Summary'!K50,IF(AND(OR('3. Basic Input &amp; Assumptions'!$G$6="No",'3. Basic Input &amp; Assumptions'!$G$6=""),'3. Basic Input &amp; Assumptions'!$G$7="Yes",'3. Basic Input &amp; Assumptions'!$G$8="Yes",'3. Basic Input &amp; Assumptions'!$G$9="Yes"),'2b. Annual Total Budget Summary'!F50+'2b. Annual Total Budget Summary'!G50+'2b. Annual Total Budget Summary'!H50+'2b. Annual Total Budget Summary'!J50+'2b. Annual Total Budget Summary'!K50,IF(AND(OR('3. Basic Input &amp; Assumptions'!$G$6="No",'3. Basic Input &amp; Assumptions'!$G$6=""),'3. Basic Input &amp; Assumptions'!$G$7="Yes",'3. Basic Input &amp; Assumptions'!$G$8="Yes",OR('3. Basic Input &amp; Assumptions'!$G$9="No",'3. Basic Input &amp; Assumptions'!$G$9="")),'2b. Annual Total Budget Summary'!F50+'2b. Annual Total Budget Summary'!G50+'2b. Annual Total Budget Summary'!J50+'2b. Annual Total Budget Summary'!K50,IF(AND(OR('3. Basic Input &amp; Assumptions'!$G$6="No",'3. Basic Input &amp; Assumptions'!$G$6=""),'3. Basic Input &amp; Assumptions'!$G$7="Yes",OR('3. Basic Input &amp; Assumptions'!$G$8="No",'3. Basic Input &amp; Assumptions'!$G$8=""),'3. Basic Input &amp; Assumptions'!$G$9="Yes"),'2b. Annual Total Budget Summary'!F50+'2b. Annual Total Budget Summary'!H50+'2b. Annual Total Budget Summary'!J50+'2b. Annual Total Budget Summary'!K50,IF(AND(OR('3. Basic Input &amp; Assumptions'!$G$6="No",'3. Basic Input &amp; Assumptions'!$G$6=""),'3. Basic Input &amp; Assumptions'!$G$7="Yes",OR('3. Basic Input &amp; Assumptions'!$G$8="No",'3. Basic Input &amp; Assumptions'!$G$8=""),OR('3. Basic Input &amp; Assumptions'!$G$9="No",'3. Basic Input &amp; Assumptions'!$G$9="")),'2b. Annual Total Budget Summary'!F50+'2b. Annual Total Budget Summary'!J50+'2b. Annual Total Budget Summary'!K50,IF(AND(OR('3. Basic Input &amp; Assumptions'!$G$6="No",'3. Basic Input &amp; Assumptions'!$G$6=""),OR('3. Basic Input &amp; Assumptions'!$G$7="No",'3. Basic Input &amp; Assumptions'!$G$7=""),'3. Basic Input &amp; Assumptions'!$G$8="Yes",OR('3. Basic Input &amp; Assumptions'!$G$9="No",'3. Basic Input &amp; Assumptions'!$G$9="")),'2b. Annual Total Budget Summary'!G50+'2b. Annual Total Budget Summary'!J50+'2b. Annual Total Budget Summary'!K50,IF(AND(OR('3. Basic Input &amp; Assumptions'!$G$6="No",'3. Basic Input &amp; Assumptions'!$G$6=""),OR('3. Basic Input &amp; Assumptions'!$G$7="No",'3. Basic Input &amp; Assumptions'!$G$7=""),'3. Basic Input &amp; Assumptions'!$G$8="Yes",'3. Basic Input &amp; Assumptions'!$G$9="Yes"),'2b. Annual Total Budget Summary'!G50+'2b. Annual Total Budget Summary'!H50+'2b. Annual Total Budget Summary'!J50+'2b. Annual Total Budget Summary'!K50,IF(AND(OR('3. Basic Input &amp; Assumptions'!$G$6="No",'3. Basic Input &amp; Assumptions'!$G$6=""),OR('3. Basic Input &amp; Assumptions'!$G$7="No",'3. Basic Input &amp; Assumptions'!$G$7=""),OR('3. Basic Input &amp; Assumptions'!$G$8="No",'3. Basic Input &amp; Assumptions'!$G$8=""),'3. Basic Input &amp; Assumptions'!$G$9="Yes"),'2b. Annual Total Budget Summary'!H50+'2b. Annual Total Budget Summary'!J50+'2b. Annual Total Budget Summary'!K50,0)))))))))))))))</f>
        <v>0</v>
      </c>
      <c r="E50" s="215" t="str">
        <f>IF('3. Basic Input &amp; Assumptions'!$G$6="Yes",'4. ACT'!D91,"")</f>
        <v/>
      </c>
      <c r="F50" s="99" t="str">
        <f>IF('3. Basic Input &amp; Assumptions'!$G$7="Yes",'5. ICM'!D103,"")</f>
        <v/>
      </c>
      <c r="G50" s="99" t="str">
        <f>IF('3. Basic Input &amp; Assumptions'!$G$8="Yes",'6. TSS'!D96,"")</f>
        <v/>
      </c>
      <c r="H50" s="99" t="str">
        <f>IF('3. Basic Input &amp; Assumptions'!$G$9="Yes",'7. CTI'!D91,"")</f>
        <v/>
      </c>
      <c r="J50" s="183"/>
      <c r="K50" s="114"/>
    </row>
    <row r="51" spans="2:11">
      <c r="B51" s="94" t="s">
        <v>32</v>
      </c>
      <c r="C51" s="95">
        <f>IF(AND('3. Basic Input &amp; Assumptions'!$G$6="Yes",'3. Basic Input &amp; Assumptions'!$G$7="Yes",'3. Basic Input &amp; Assumptions'!$G$8="Yes",'3. Basic Input &amp; Assumptions'!$G$9="Yes"),'2b. Annual Total Budget Summary'!E51+'2b. Annual Total Budget Summary'!F51+'2b. Annual Total Budget Summary'!G51+'2b. Annual Total Budget Summary'!H51+'2b. Annual Total Budget Summary'!J51+'2b. Annual Total Budget Summary'!K51,IF(AND('3. Basic Input &amp; Assumptions'!$G$6="Yes",'3. Basic Input &amp; Assumptions'!$G$7="Yes",'3. Basic Input &amp; Assumptions'!$G$8="Yes",OR('3. Basic Input &amp; Assumptions'!$G$9="No",'3. Basic Input &amp; Assumptions'!$G$9="")),'2b. Annual Total Budget Summary'!E51+'2b. Annual Total Budget Summary'!F51+'2b. Annual Total Budget Summary'!G51+'2b. Annual Total Budget Summary'!J51+'2b. Annual Total Budget Summary'!K51,IF(AND('3. Basic Input &amp; Assumptions'!$G$6="Yes",'3. Basic Input &amp; Assumptions'!$G$7="Yes",OR('3. Basic Input &amp; Assumptions'!$G$8="No",'3. Basic Input &amp; Assumptions'!$G$8=""),OR('3. Basic Input &amp; Assumptions'!$G$9="No",'3. Basic Input &amp; Assumptions'!$G$9="")),'2b. Annual Total Budget Summary'!E51+'2b. Annual Total Budget Summary'!F51+'2b. Annual Total Budget Summary'!J51+'2b. Annual Total Budget Summary'!K51,IF(AND('3. Basic Input &amp; Assumptions'!$G$6="Yes",OR('3. Basic Input &amp; Assumptions'!$G$7="No",'3. Basic Input &amp; Assumptions'!$G$7=""),OR('3. Basic Input &amp; Assumptions'!$G$8="No",'3. Basic Input &amp; Assumptions'!$G$8=""),OR('3. Basic Input &amp; Assumptions'!$G$9="No",'3. Basic Input &amp; Assumptions'!$G$9="")),'2b. Annual Total Budget Summary'!E51+'2b. Annual Total Budget Summary'!J51+'2b. Annual Total Budget Summary'!K51,IF(AND('3. Basic Input &amp; Assumptions'!$G$6="Yes",OR('3. Basic Input &amp; Assumptions'!$G$7="No",'3. Basic Input &amp; Assumptions'!$G$7=""),'3. Basic Input &amp; Assumptions'!$G$8="Yes",'3. Basic Input &amp; Assumptions'!$G$9="Yes"),'2b. Annual Total Budget Summary'!E51+'2b. Annual Total Budget Summary'!G51+'2b. Annual Total Budget Summary'!H51+'2b. Annual Total Budget Summary'!J51+'2b. Annual Total Budget Summary'!K51,IF(AND('3. Basic Input &amp; Assumptions'!$G$6="Yes",OR('3. Basic Input &amp; Assumptions'!$G$7="No",'3. Basic Input &amp; Assumptions'!$G$7=""),'3. Basic Input &amp; Assumptions'!$G$8="Yes",OR('3. Basic Input &amp; Assumptions'!$G$9="No",'3. Basic Input &amp; Assumptions'!$G$9="")),'2b. Annual Total Budget Summary'!E51+'2b. Annual Total Budget Summary'!G51+'2b. Annual Total Budget Summary'!J51+'2b. Annual Total Budget Summary'!K51,IF(AND('3. Basic Input &amp; Assumptions'!$G$6="Yes",OR('3. Basic Input &amp; Assumptions'!$G$7="No",'3. Basic Input &amp; Assumptions'!$G$7=""),OR('3. Basic Input &amp; Assumptions'!$G$8="No",'3. Basic Input &amp; Assumptions'!$G$8=""),'3. Basic Input &amp; Assumptions'!$G$9="Yes"),'2b. Annual Total Budget Summary'!E51+'2b. Annual Total Budget Summary'!H51+'2b. Annual Total Budget Summary'!J51+'2b. Annual Total Budget Summary'!K51,IF(AND('3. Basic Input &amp; Assumptions'!$G$6="Yes",'3. Basic Input &amp; Assumptions'!$G$7="Yes",OR('3. Basic Input &amp; Assumptions'!$G$8="No",'3. Basic Input &amp; Assumptions'!$G$8=""),'3. Basic Input &amp; Assumptions'!$G$9="Yes"),'2b. Annual Total Budget Summary'!E51+'2b. Annual Total Budget Summary'!F51+'2b. Annual Total Budget Summary'!H51+'2b. Annual Total Budget Summary'!J51+'2b. Annual Total Budget Summary'!K51,IF(AND(OR('3. Basic Input &amp; Assumptions'!$G$6="No",'3. Basic Input &amp; Assumptions'!$G$6=""),'3. Basic Input &amp; Assumptions'!$G$7="Yes",'3. Basic Input &amp; Assumptions'!$G$8="Yes",'3. Basic Input &amp; Assumptions'!$G$9="Yes"),'2b. Annual Total Budget Summary'!F51+'2b. Annual Total Budget Summary'!G51+'2b. Annual Total Budget Summary'!H51+'2b. Annual Total Budget Summary'!J51+'2b. Annual Total Budget Summary'!K51,IF(AND(OR('3. Basic Input &amp; Assumptions'!$G$6="No",'3. Basic Input &amp; Assumptions'!$G$6=""),'3. Basic Input &amp; Assumptions'!$G$7="Yes",'3. Basic Input &amp; Assumptions'!$G$8="Yes",OR('3. Basic Input &amp; Assumptions'!$G$9="No",'3. Basic Input &amp; Assumptions'!$G$9="")),'2b. Annual Total Budget Summary'!F51+'2b. Annual Total Budget Summary'!G51+'2b. Annual Total Budget Summary'!J51+'2b. Annual Total Budget Summary'!K51,IF(AND(OR('3. Basic Input &amp; Assumptions'!$G$6="No",'3. Basic Input &amp; Assumptions'!$G$6=""),'3. Basic Input &amp; Assumptions'!$G$7="Yes",OR('3. Basic Input &amp; Assumptions'!$G$8="No",'3. Basic Input &amp; Assumptions'!$G$8=""),'3. Basic Input &amp; Assumptions'!$G$9="Yes"),'2b. Annual Total Budget Summary'!F51+'2b. Annual Total Budget Summary'!H51+'2b. Annual Total Budget Summary'!J51+'2b. Annual Total Budget Summary'!K51,IF(AND(OR('3. Basic Input &amp; Assumptions'!$G$6="No",'3. Basic Input &amp; Assumptions'!$G$6=""),'3. Basic Input &amp; Assumptions'!$G$7="Yes",OR('3. Basic Input &amp; Assumptions'!$G$8="No",'3. Basic Input &amp; Assumptions'!$G$8=""),OR('3. Basic Input &amp; Assumptions'!$G$9="No",'3. Basic Input &amp; Assumptions'!$G$9="")),'2b. Annual Total Budget Summary'!F51+'2b. Annual Total Budget Summary'!J51+'2b. Annual Total Budget Summary'!K51,IF(AND(OR('3. Basic Input &amp; Assumptions'!$G$6="No",'3. Basic Input &amp; Assumptions'!$G$6=""),OR('3. Basic Input &amp; Assumptions'!$G$7="No",'3. Basic Input &amp; Assumptions'!$G$7=""),'3. Basic Input &amp; Assumptions'!$G$8="Yes",OR('3. Basic Input &amp; Assumptions'!$G$9="No",'3. Basic Input &amp; Assumptions'!$G$9="")),'2b. Annual Total Budget Summary'!G51+'2b. Annual Total Budget Summary'!J51+'2b. Annual Total Budget Summary'!K51,IF(AND(OR('3. Basic Input &amp; Assumptions'!$G$6="No",'3. Basic Input &amp; Assumptions'!$G$6=""),OR('3. Basic Input &amp; Assumptions'!$G$7="No",'3. Basic Input &amp; Assumptions'!$G$7=""),'3. Basic Input &amp; Assumptions'!$G$8="Yes",'3. Basic Input &amp; Assumptions'!$G$9="Yes"),'2b. Annual Total Budget Summary'!G51+'2b. Annual Total Budget Summary'!H51+'2b. Annual Total Budget Summary'!J51+'2b. Annual Total Budget Summary'!K51,IF(AND(OR('3. Basic Input &amp; Assumptions'!$G$6="No",'3. Basic Input &amp; Assumptions'!$G$6=""),OR('3. Basic Input &amp; Assumptions'!$G$7="No",'3. Basic Input &amp; Assumptions'!$G$7=""),OR('3. Basic Input &amp; Assumptions'!$G$8="No",'3. Basic Input &amp; Assumptions'!$G$8=""),'3. Basic Input &amp; Assumptions'!$G$9="Yes"),'2b. Annual Total Budget Summary'!H51+'2b. Annual Total Budget Summary'!J51+'2b. Annual Total Budget Summary'!K51,0)))))))))))))))</f>
        <v>0</v>
      </c>
      <c r="E51" s="215" t="str">
        <f>IF('3. Basic Input &amp; Assumptions'!$G$6="Yes",'4. ACT'!D92,"")</f>
        <v/>
      </c>
      <c r="F51" s="99" t="str">
        <f>IF('3. Basic Input &amp; Assumptions'!$G$7="Yes",'5. ICM'!D104,"")</f>
        <v/>
      </c>
      <c r="G51" s="99" t="str">
        <f>IF('3. Basic Input &amp; Assumptions'!$G$8="Yes",'6. TSS'!D97,"")</f>
        <v/>
      </c>
      <c r="H51" s="99" t="str">
        <f>IF('3. Basic Input &amp; Assumptions'!$G$9="Yes",'7. CTI'!D92,"")</f>
        <v/>
      </c>
      <c r="J51" s="183"/>
      <c r="K51" s="114"/>
    </row>
    <row r="52" spans="2:11">
      <c r="B52" s="94" t="s">
        <v>33</v>
      </c>
      <c r="C52" s="95">
        <f>IF(AND('3. Basic Input &amp; Assumptions'!$G$6="Yes",'3. Basic Input &amp; Assumptions'!$G$7="Yes",'3. Basic Input &amp; Assumptions'!$G$8="Yes",'3. Basic Input &amp; Assumptions'!$G$9="Yes"),'2b. Annual Total Budget Summary'!E52+'2b. Annual Total Budget Summary'!F52+'2b. Annual Total Budget Summary'!G52+'2b. Annual Total Budget Summary'!H52+'2b. Annual Total Budget Summary'!J52+'2b. Annual Total Budget Summary'!K52,IF(AND('3. Basic Input &amp; Assumptions'!$G$6="Yes",'3. Basic Input &amp; Assumptions'!$G$7="Yes",'3. Basic Input &amp; Assumptions'!$G$8="Yes",OR('3. Basic Input &amp; Assumptions'!$G$9="No",'3. Basic Input &amp; Assumptions'!$G$9="")),'2b. Annual Total Budget Summary'!E52+'2b. Annual Total Budget Summary'!F52+'2b. Annual Total Budget Summary'!G52+'2b. Annual Total Budget Summary'!J52+'2b. Annual Total Budget Summary'!K52,IF(AND('3. Basic Input &amp; Assumptions'!$G$6="Yes",'3. Basic Input &amp; Assumptions'!$G$7="Yes",OR('3. Basic Input &amp; Assumptions'!$G$8="No",'3. Basic Input &amp; Assumptions'!$G$8=""),OR('3. Basic Input &amp; Assumptions'!$G$9="No",'3. Basic Input &amp; Assumptions'!$G$9="")),'2b. Annual Total Budget Summary'!E52+'2b. Annual Total Budget Summary'!F52+'2b. Annual Total Budget Summary'!J52+'2b. Annual Total Budget Summary'!K52,IF(AND('3. Basic Input &amp; Assumptions'!$G$6="Yes",OR('3. Basic Input &amp; Assumptions'!$G$7="No",'3. Basic Input &amp; Assumptions'!$G$7=""),OR('3. Basic Input &amp; Assumptions'!$G$8="No",'3. Basic Input &amp; Assumptions'!$G$8=""),OR('3. Basic Input &amp; Assumptions'!$G$9="No",'3. Basic Input &amp; Assumptions'!$G$9="")),'2b. Annual Total Budget Summary'!E52+'2b. Annual Total Budget Summary'!J52+'2b. Annual Total Budget Summary'!K52,IF(AND('3. Basic Input &amp; Assumptions'!$G$6="Yes",OR('3. Basic Input &amp; Assumptions'!$G$7="No",'3. Basic Input &amp; Assumptions'!$G$7=""),'3. Basic Input &amp; Assumptions'!$G$8="Yes",'3. Basic Input &amp; Assumptions'!$G$9="Yes"),'2b. Annual Total Budget Summary'!E52+'2b. Annual Total Budget Summary'!G52+'2b. Annual Total Budget Summary'!H52+'2b. Annual Total Budget Summary'!J52+'2b. Annual Total Budget Summary'!K52,IF(AND('3. Basic Input &amp; Assumptions'!$G$6="Yes",OR('3. Basic Input &amp; Assumptions'!$G$7="No",'3. Basic Input &amp; Assumptions'!$G$7=""),'3. Basic Input &amp; Assumptions'!$G$8="Yes",OR('3. Basic Input &amp; Assumptions'!$G$9="No",'3. Basic Input &amp; Assumptions'!$G$9="")),'2b. Annual Total Budget Summary'!E52+'2b. Annual Total Budget Summary'!G52+'2b. Annual Total Budget Summary'!J52+'2b. Annual Total Budget Summary'!K52,IF(AND('3. Basic Input &amp; Assumptions'!$G$6="Yes",OR('3. Basic Input &amp; Assumptions'!$G$7="No",'3. Basic Input &amp; Assumptions'!$G$7=""),OR('3. Basic Input &amp; Assumptions'!$G$8="No",'3. Basic Input &amp; Assumptions'!$G$8=""),'3. Basic Input &amp; Assumptions'!$G$9="Yes"),'2b. Annual Total Budget Summary'!E52+'2b. Annual Total Budget Summary'!H52+'2b. Annual Total Budget Summary'!J52+'2b. Annual Total Budget Summary'!K52,IF(AND('3. Basic Input &amp; Assumptions'!$G$6="Yes",'3. Basic Input &amp; Assumptions'!$G$7="Yes",OR('3. Basic Input &amp; Assumptions'!$G$8="No",'3. Basic Input &amp; Assumptions'!$G$8=""),'3. Basic Input &amp; Assumptions'!$G$9="Yes"),'2b. Annual Total Budget Summary'!E52+'2b. Annual Total Budget Summary'!F52+'2b. Annual Total Budget Summary'!H52+'2b. Annual Total Budget Summary'!J52+'2b. Annual Total Budget Summary'!K52,IF(AND(OR('3. Basic Input &amp; Assumptions'!$G$6="No",'3. Basic Input &amp; Assumptions'!$G$6=""),'3. Basic Input &amp; Assumptions'!$G$7="Yes",'3. Basic Input &amp; Assumptions'!$G$8="Yes",'3. Basic Input &amp; Assumptions'!$G$9="Yes"),'2b. Annual Total Budget Summary'!F52+'2b. Annual Total Budget Summary'!G52+'2b. Annual Total Budget Summary'!H52+'2b. Annual Total Budget Summary'!J52+'2b. Annual Total Budget Summary'!K52,IF(AND(OR('3. Basic Input &amp; Assumptions'!$G$6="No",'3. Basic Input &amp; Assumptions'!$G$6=""),'3. Basic Input &amp; Assumptions'!$G$7="Yes",'3. Basic Input &amp; Assumptions'!$G$8="Yes",OR('3. Basic Input &amp; Assumptions'!$G$9="No",'3. Basic Input &amp; Assumptions'!$G$9="")),'2b. Annual Total Budget Summary'!F52+'2b. Annual Total Budget Summary'!G52+'2b. Annual Total Budget Summary'!J52+'2b. Annual Total Budget Summary'!K52,IF(AND(OR('3. Basic Input &amp; Assumptions'!$G$6="No",'3. Basic Input &amp; Assumptions'!$G$6=""),'3. Basic Input &amp; Assumptions'!$G$7="Yes",OR('3. Basic Input &amp; Assumptions'!$G$8="No",'3. Basic Input &amp; Assumptions'!$G$8=""),'3. Basic Input &amp; Assumptions'!$G$9="Yes"),'2b. Annual Total Budget Summary'!F52+'2b. Annual Total Budget Summary'!H52+'2b. Annual Total Budget Summary'!J52+'2b. Annual Total Budget Summary'!K52,IF(AND(OR('3. Basic Input &amp; Assumptions'!$G$6="No",'3. Basic Input &amp; Assumptions'!$G$6=""),'3. Basic Input &amp; Assumptions'!$G$7="Yes",OR('3. Basic Input &amp; Assumptions'!$G$8="No",'3. Basic Input &amp; Assumptions'!$G$8=""),OR('3. Basic Input &amp; Assumptions'!$G$9="No",'3. Basic Input &amp; Assumptions'!$G$9="")),'2b. Annual Total Budget Summary'!F52+'2b. Annual Total Budget Summary'!J52+'2b. Annual Total Budget Summary'!K52,IF(AND(OR('3. Basic Input &amp; Assumptions'!$G$6="No",'3. Basic Input &amp; Assumptions'!$G$6=""),OR('3. Basic Input &amp; Assumptions'!$G$7="No",'3. Basic Input &amp; Assumptions'!$G$7=""),'3. Basic Input &amp; Assumptions'!$G$8="Yes",OR('3. Basic Input &amp; Assumptions'!$G$9="No",'3. Basic Input &amp; Assumptions'!$G$9="")),'2b. Annual Total Budget Summary'!G52+'2b. Annual Total Budget Summary'!J52+'2b. Annual Total Budget Summary'!K52,IF(AND(OR('3. Basic Input &amp; Assumptions'!$G$6="No",'3. Basic Input &amp; Assumptions'!$G$6=""),OR('3. Basic Input &amp; Assumptions'!$G$7="No",'3. Basic Input &amp; Assumptions'!$G$7=""),'3. Basic Input &amp; Assumptions'!$G$8="Yes",'3. Basic Input &amp; Assumptions'!$G$9="Yes"),'2b. Annual Total Budget Summary'!G52+'2b. Annual Total Budget Summary'!H52+'2b. Annual Total Budget Summary'!J52+'2b. Annual Total Budget Summary'!K52,IF(AND(OR('3. Basic Input &amp; Assumptions'!$G$6="No",'3. Basic Input &amp; Assumptions'!$G$6=""),OR('3. Basic Input &amp; Assumptions'!$G$7="No",'3. Basic Input &amp; Assumptions'!$G$7=""),OR('3. Basic Input &amp; Assumptions'!$G$8="No",'3. Basic Input &amp; Assumptions'!$G$8=""),'3. Basic Input &amp; Assumptions'!$G$9="Yes"),'2b. Annual Total Budget Summary'!H52+'2b. Annual Total Budget Summary'!J52+'2b. Annual Total Budget Summary'!K52,0)))))))))))))))</f>
        <v>0</v>
      </c>
      <c r="E52" s="215" t="str">
        <f>IF('3. Basic Input &amp; Assumptions'!$G$6="Yes",'4. ACT'!D93,"")</f>
        <v/>
      </c>
      <c r="F52" s="99" t="str">
        <f>IF('3. Basic Input &amp; Assumptions'!$G$7="Yes",'5. ICM'!D105,"")</f>
        <v/>
      </c>
      <c r="G52" s="99" t="str">
        <f>IF('3. Basic Input &amp; Assumptions'!$G$8="Yes",'6. TSS'!D98,"")</f>
        <v/>
      </c>
      <c r="H52" s="99" t="str">
        <f>IF('3. Basic Input &amp; Assumptions'!$G$9="Yes",'7. CTI'!D93,"")</f>
        <v/>
      </c>
      <c r="J52" s="183"/>
      <c r="K52" s="114"/>
    </row>
    <row r="53" spans="2:11">
      <c r="B53" s="94" t="s">
        <v>34</v>
      </c>
      <c r="C53" s="95">
        <f>IF(AND('3. Basic Input &amp; Assumptions'!$G$6="Yes",'3. Basic Input &amp; Assumptions'!$G$7="Yes",'3. Basic Input &amp; Assumptions'!$G$8="Yes",'3. Basic Input &amp; Assumptions'!$G$9="Yes"),'2b. Annual Total Budget Summary'!E53+'2b. Annual Total Budget Summary'!F53+'2b. Annual Total Budget Summary'!G53+'2b. Annual Total Budget Summary'!H53+'2b. Annual Total Budget Summary'!J53+'2b. Annual Total Budget Summary'!K53,IF(AND('3. Basic Input &amp; Assumptions'!$G$6="Yes",'3. Basic Input &amp; Assumptions'!$G$7="Yes",'3. Basic Input &amp; Assumptions'!$G$8="Yes",OR('3. Basic Input &amp; Assumptions'!$G$9="No",'3. Basic Input &amp; Assumptions'!$G$9="")),'2b. Annual Total Budget Summary'!E53+'2b. Annual Total Budget Summary'!F53+'2b. Annual Total Budget Summary'!G53+'2b. Annual Total Budget Summary'!J53+'2b. Annual Total Budget Summary'!K53,IF(AND('3. Basic Input &amp; Assumptions'!$G$6="Yes",'3. Basic Input &amp; Assumptions'!$G$7="Yes",OR('3. Basic Input &amp; Assumptions'!$G$8="No",'3. Basic Input &amp; Assumptions'!$G$8=""),OR('3. Basic Input &amp; Assumptions'!$G$9="No",'3. Basic Input &amp; Assumptions'!$G$9="")),'2b. Annual Total Budget Summary'!E53+'2b. Annual Total Budget Summary'!F53+'2b. Annual Total Budget Summary'!J53+'2b. Annual Total Budget Summary'!K53,IF(AND('3. Basic Input &amp; Assumptions'!$G$6="Yes",OR('3. Basic Input &amp; Assumptions'!$G$7="No",'3. Basic Input &amp; Assumptions'!$G$7=""),OR('3. Basic Input &amp; Assumptions'!$G$8="No",'3. Basic Input &amp; Assumptions'!$G$8=""),OR('3. Basic Input &amp; Assumptions'!$G$9="No",'3. Basic Input &amp; Assumptions'!$G$9="")),'2b. Annual Total Budget Summary'!E53+'2b. Annual Total Budget Summary'!J53+'2b. Annual Total Budget Summary'!K53,IF(AND('3. Basic Input &amp; Assumptions'!$G$6="Yes",OR('3. Basic Input &amp; Assumptions'!$G$7="No",'3. Basic Input &amp; Assumptions'!$G$7=""),'3. Basic Input &amp; Assumptions'!$G$8="Yes",'3. Basic Input &amp; Assumptions'!$G$9="Yes"),'2b. Annual Total Budget Summary'!E53+'2b. Annual Total Budget Summary'!G53+'2b. Annual Total Budget Summary'!H53+'2b. Annual Total Budget Summary'!J53+'2b. Annual Total Budget Summary'!K53,IF(AND('3. Basic Input &amp; Assumptions'!$G$6="Yes",OR('3. Basic Input &amp; Assumptions'!$G$7="No",'3. Basic Input &amp; Assumptions'!$G$7=""),'3. Basic Input &amp; Assumptions'!$G$8="Yes",OR('3. Basic Input &amp; Assumptions'!$G$9="No",'3. Basic Input &amp; Assumptions'!$G$9="")),'2b. Annual Total Budget Summary'!E53+'2b. Annual Total Budget Summary'!G53+'2b. Annual Total Budget Summary'!J53+'2b. Annual Total Budget Summary'!K53,IF(AND('3. Basic Input &amp; Assumptions'!$G$6="Yes",OR('3. Basic Input &amp; Assumptions'!$G$7="No",'3. Basic Input &amp; Assumptions'!$G$7=""),OR('3. Basic Input &amp; Assumptions'!$G$8="No",'3. Basic Input &amp; Assumptions'!$G$8=""),'3. Basic Input &amp; Assumptions'!$G$9="Yes"),'2b. Annual Total Budget Summary'!E53+'2b. Annual Total Budget Summary'!H53+'2b. Annual Total Budget Summary'!J53+'2b. Annual Total Budget Summary'!K53,IF(AND('3. Basic Input &amp; Assumptions'!$G$6="Yes",'3. Basic Input &amp; Assumptions'!$G$7="Yes",OR('3. Basic Input &amp; Assumptions'!$G$8="No",'3. Basic Input &amp; Assumptions'!$G$8=""),'3. Basic Input &amp; Assumptions'!$G$9="Yes"),'2b. Annual Total Budget Summary'!E53+'2b. Annual Total Budget Summary'!F53+'2b. Annual Total Budget Summary'!H53+'2b. Annual Total Budget Summary'!J53+'2b. Annual Total Budget Summary'!K53,IF(AND(OR('3. Basic Input &amp; Assumptions'!$G$6="No",'3. Basic Input &amp; Assumptions'!$G$6=""),'3. Basic Input &amp; Assumptions'!$G$7="Yes",'3. Basic Input &amp; Assumptions'!$G$8="Yes",'3. Basic Input &amp; Assumptions'!$G$9="Yes"),'2b. Annual Total Budget Summary'!F53+'2b. Annual Total Budget Summary'!G53+'2b. Annual Total Budget Summary'!H53+'2b. Annual Total Budget Summary'!J53+'2b. Annual Total Budget Summary'!K53,IF(AND(OR('3. Basic Input &amp; Assumptions'!$G$6="No",'3. Basic Input &amp; Assumptions'!$G$6=""),'3. Basic Input &amp; Assumptions'!$G$7="Yes",'3. Basic Input &amp; Assumptions'!$G$8="Yes",OR('3. Basic Input &amp; Assumptions'!$G$9="No",'3. Basic Input &amp; Assumptions'!$G$9="")),'2b. Annual Total Budget Summary'!F53+'2b. Annual Total Budget Summary'!G53+'2b. Annual Total Budget Summary'!J53+'2b. Annual Total Budget Summary'!K53,IF(AND(OR('3. Basic Input &amp; Assumptions'!$G$6="No",'3. Basic Input &amp; Assumptions'!$G$6=""),'3. Basic Input &amp; Assumptions'!$G$7="Yes",OR('3. Basic Input &amp; Assumptions'!$G$8="No",'3. Basic Input &amp; Assumptions'!$G$8=""),'3. Basic Input &amp; Assumptions'!$G$9="Yes"),'2b. Annual Total Budget Summary'!F53+'2b. Annual Total Budget Summary'!H53+'2b. Annual Total Budget Summary'!J53+'2b. Annual Total Budget Summary'!K53,IF(AND(OR('3. Basic Input &amp; Assumptions'!$G$6="No",'3. Basic Input &amp; Assumptions'!$G$6=""),'3. Basic Input &amp; Assumptions'!$G$7="Yes",OR('3. Basic Input &amp; Assumptions'!$G$8="No",'3. Basic Input &amp; Assumptions'!$G$8=""),OR('3. Basic Input &amp; Assumptions'!$G$9="No",'3. Basic Input &amp; Assumptions'!$G$9="")),'2b. Annual Total Budget Summary'!F53+'2b. Annual Total Budget Summary'!J53+'2b. Annual Total Budget Summary'!K53,IF(AND(OR('3. Basic Input &amp; Assumptions'!$G$6="No",'3. Basic Input &amp; Assumptions'!$G$6=""),OR('3. Basic Input &amp; Assumptions'!$G$7="No",'3. Basic Input &amp; Assumptions'!$G$7=""),'3. Basic Input &amp; Assumptions'!$G$8="Yes",OR('3. Basic Input &amp; Assumptions'!$G$9="No",'3. Basic Input &amp; Assumptions'!$G$9="")),'2b. Annual Total Budget Summary'!G53+'2b. Annual Total Budget Summary'!J53+'2b. Annual Total Budget Summary'!K53,IF(AND(OR('3. Basic Input &amp; Assumptions'!$G$6="No",'3. Basic Input &amp; Assumptions'!$G$6=""),OR('3. Basic Input &amp; Assumptions'!$G$7="No",'3. Basic Input &amp; Assumptions'!$G$7=""),'3. Basic Input &amp; Assumptions'!$G$8="Yes",'3. Basic Input &amp; Assumptions'!$G$9="Yes"),'2b. Annual Total Budget Summary'!G53+'2b. Annual Total Budget Summary'!H53+'2b. Annual Total Budget Summary'!J53+'2b. Annual Total Budget Summary'!K53,IF(AND(OR('3. Basic Input &amp; Assumptions'!$G$6="No",'3. Basic Input &amp; Assumptions'!$G$6=""),OR('3. Basic Input &amp; Assumptions'!$G$7="No",'3. Basic Input &amp; Assumptions'!$G$7=""),OR('3. Basic Input &amp; Assumptions'!$G$8="No",'3. Basic Input &amp; Assumptions'!$G$8=""),'3. Basic Input &amp; Assumptions'!$G$9="Yes"),'2b. Annual Total Budget Summary'!H53+'2b. Annual Total Budget Summary'!J53+'2b. Annual Total Budget Summary'!K53,0)))))))))))))))</f>
        <v>0</v>
      </c>
      <c r="E53" s="215" t="str">
        <f>IF('3. Basic Input &amp; Assumptions'!$G$6="Yes",'4. ACT'!D94,"")</f>
        <v/>
      </c>
      <c r="F53" s="99" t="str">
        <f>IF('3. Basic Input &amp; Assumptions'!$G$7="Yes",'5. ICM'!D106,"")</f>
        <v/>
      </c>
      <c r="G53" s="99" t="str">
        <f>IF('3. Basic Input &amp; Assumptions'!$G$8="Yes",'6. TSS'!D99,"")</f>
        <v/>
      </c>
      <c r="H53" s="99" t="str">
        <f>IF('3. Basic Input &amp; Assumptions'!$G$9="Yes",'7. CTI'!D94,"")</f>
        <v/>
      </c>
      <c r="J53" s="183"/>
      <c r="K53" s="114"/>
    </row>
    <row r="54" spans="2:11">
      <c r="B54" s="106" t="s">
        <v>35</v>
      </c>
      <c r="C54" s="97">
        <f>IF(AND('3. Basic Input &amp; Assumptions'!$G$6="Yes",'3. Basic Input &amp; Assumptions'!$G$7="Yes",'3. Basic Input &amp; Assumptions'!$G$8="Yes",'3. Basic Input &amp; Assumptions'!$G$9="Yes"),'2b. Annual Total Budget Summary'!E54+'2b. Annual Total Budget Summary'!F54+'2b. Annual Total Budget Summary'!G54+'2b. Annual Total Budget Summary'!H54+'2b. Annual Total Budget Summary'!J54+'2b. Annual Total Budget Summary'!K54,IF(AND('3. Basic Input &amp; Assumptions'!$G$6="Yes",'3. Basic Input &amp; Assumptions'!$G$7="Yes",'3. Basic Input &amp; Assumptions'!$G$8="Yes",OR('3. Basic Input &amp; Assumptions'!$G$9="No",'3. Basic Input &amp; Assumptions'!$G$9="")),'2b. Annual Total Budget Summary'!E54+'2b. Annual Total Budget Summary'!F54+'2b. Annual Total Budget Summary'!G54+'2b. Annual Total Budget Summary'!J54+'2b. Annual Total Budget Summary'!K54,IF(AND('3. Basic Input &amp; Assumptions'!$G$6="Yes",'3. Basic Input &amp; Assumptions'!$G$7="Yes",OR('3. Basic Input &amp; Assumptions'!$G$8="No",'3. Basic Input &amp; Assumptions'!$G$8=""),OR('3. Basic Input &amp; Assumptions'!$G$9="No",'3. Basic Input &amp; Assumptions'!$G$9="")),'2b. Annual Total Budget Summary'!E54+'2b. Annual Total Budget Summary'!F54+'2b. Annual Total Budget Summary'!J54+'2b. Annual Total Budget Summary'!K54,IF(AND('3. Basic Input &amp; Assumptions'!$G$6="Yes",OR('3. Basic Input &amp; Assumptions'!$G$7="No",'3. Basic Input &amp; Assumptions'!$G$7=""),OR('3. Basic Input &amp; Assumptions'!$G$8="No",'3. Basic Input &amp; Assumptions'!$G$8=""),OR('3. Basic Input &amp; Assumptions'!$G$9="No",'3. Basic Input &amp; Assumptions'!$G$9="")),'2b. Annual Total Budget Summary'!E54+'2b. Annual Total Budget Summary'!J54+'2b. Annual Total Budget Summary'!K54,IF(AND('3. Basic Input &amp; Assumptions'!$G$6="Yes",OR('3. Basic Input &amp; Assumptions'!$G$7="No",'3. Basic Input &amp; Assumptions'!$G$7=""),'3. Basic Input &amp; Assumptions'!$G$8="Yes",'3. Basic Input &amp; Assumptions'!$G$9="Yes"),'2b. Annual Total Budget Summary'!E54+'2b. Annual Total Budget Summary'!G54+'2b. Annual Total Budget Summary'!H54+'2b. Annual Total Budget Summary'!J54+'2b. Annual Total Budget Summary'!K54,IF(AND('3. Basic Input &amp; Assumptions'!$G$6="Yes",OR('3. Basic Input &amp; Assumptions'!$G$7="No",'3. Basic Input &amp; Assumptions'!$G$7=""),'3. Basic Input &amp; Assumptions'!$G$8="Yes",OR('3. Basic Input &amp; Assumptions'!$G$9="No",'3. Basic Input &amp; Assumptions'!$G$9="")),'2b. Annual Total Budget Summary'!E54+'2b. Annual Total Budget Summary'!G54+'2b. Annual Total Budget Summary'!J54+'2b. Annual Total Budget Summary'!K54,IF(AND('3. Basic Input &amp; Assumptions'!$G$6="Yes",OR('3. Basic Input &amp; Assumptions'!$G$7="No",'3. Basic Input &amp; Assumptions'!$G$7=""),OR('3. Basic Input &amp; Assumptions'!$G$8="No",'3. Basic Input &amp; Assumptions'!$G$8=""),'3. Basic Input &amp; Assumptions'!$G$9="Yes"),'2b. Annual Total Budget Summary'!E54+'2b. Annual Total Budget Summary'!H54+'2b. Annual Total Budget Summary'!J54+'2b. Annual Total Budget Summary'!K54,IF(AND('3. Basic Input &amp; Assumptions'!$G$6="Yes",'3. Basic Input &amp; Assumptions'!$G$7="Yes",OR('3. Basic Input &amp; Assumptions'!$G$8="No",'3. Basic Input &amp; Assumptions'!$G$8=""),'3. Basic Input &amp; Assumptions'!$G$9="Yes"),'2b. Annual Total Budget Summary'!E54+'2b. Annual Total Budget Summary'!F54+'2b. Annual Total Budget Summary'!H54+'2b. Annual Total Budget Summary'!J54+'2b. Annual Total Budget Summary'!K54,IF(AND(OR('3. Basic Input &amp; Assumptions'!$G$6="No",'3. Basic Input &amp; Assumptions'!$G$6=""),'3. Basic Input &amp; Assumptions'!$G$7="Yes",'3. Basic Input &amp; Assumptions'!$G$8="Yes",'3. Basic Input &amp; Assumptions'!$G$9="Yes"),'2b. Annual Total Budget Summary'!F54+'2b. Annual Total Budget Summary'!G54+'2b. Annual Total Budget Summary'!H54+'2b. Annual Total Budget Summary'!J54+'2b. Annual Total Budget Summary'!K54,IF(AND(OR('3. Basic Input &amp; Assumptions'!$G$6="No",'3. Basic Input &amp; Assumptions'!$G$6=""),'3. Basic Input &amp; Assumptions'!$G$7="Yes",'3. Basic Input &amp; Assumptions'!$G$8="Yes",OR('3. Basic Input &amp; Assumptions'!$G$9="No",'3. Basic Input &amp; Assumptions'!$G$9="")),'2b. Annual Total Budget Summary'!F54+'2b. Annual Total Budget Summary'!G54+'2b. Annual Total Budget Summary'!J54+'2b. Annual Total Budget Summary'!K54,IF(AND(OR('3. Basic Input &amp; Assumptions'!$G$6="No",'3. Basic Input &amp; Assumptions'!$G$6=""),'3. Basic Input &amp; Assumptions'!$G$7="Yes",OR('3. Basic Input &amp; Assumptions'!$G$8="No",'3. Basic Input &amp; Assumptions'!$G$8=""),'3. Basic Input &amp; Assumptions'!$G$9="Yes"),'2b. Annual Total Budget Summary'!F54+'2b. Annual Total Budget Summary'!H54+'2b. Annual Total Budget Summary'!J54+'2b. Annual Total Budget Summary'!K54,IF(AND(OR('3. Basic Input &amp; Assumptions'!$G$6="No",'3. Basic Input &amp; Assumptions'!$G$6=""),'3. Basic Input &amp; Assumptions'!$G$7="Yes",OR('3. Basic Input &amp; Assumptions'!$G$8="No",'3. Basic Input &amp; Assumptions'!$G$8=""),OR('3. Basic Input &amp; Assumptions'!$G$9="No",'3. Basic Input &amp; Assumptions'!$G$9="")),'2b. Annual Total Budget Summary'!F54+'2b. Annual Total Budget Summary'!J54+'2b. Annual Total Budget Summary'!K54,IF(AND(OR('3. Basic Input &amp; Assumptions'!$G$6="No",'3. Basic Input &amp; Assumptions'!$G$6=""),OR('3. Basic Input &amp; Assumptions'!$G$7="No",'3. Basic Input &amp; Assumptions'!$G$7=""),'3. Basic Input &amp; Assumptions'!$G$8="Yes",OR('3. Basic Input &amp; Assumptions'!$G$9="No",'3. Basic Input &amp; Assumptions'!$G$9="")),'2b. Annual Total Budget Summary'!G54+'2b. Annual Total Budget Summary'!J54+'2b. Annual Total Budget Summary'!K54,IF(AND(OR('3. Basic Input &amp; Assumptions'!$G$6="No",'3. Basic Input &amp; Assumptions'!$G$6=""),OR('3. Basic Input &amp; Assumptions'!$G$7="No",'3. Basic Input &amp; Assumptions'!$G$7=""),'3. Basic Input &amp; Assumptions'!$G$8="Yes",'3. Basic Input &amp; Assumptions'!$G$9="Yes"),'2b. Annual Total Budget Summary'!G54+'2b. Annual Total Budget Summary'!H54+'2b. Annual Total Budget Summary'!J54+'2b. Annual Total Budget Summary'!K54,IF(AND(OR('3. Basic Input &amp; Assumptions'!$G$6="No",'3. Basic Input &amp; Assumptions'!$G$6=""),OR('3. Basic Input &amp; Assumptions'!$G$7="No",'3. Basic Input &amp; Assumptions'!$G$7=""),OR('3. Basic Input &amp; Assumptions'!$G$8="No",'3. Basic Input &amp; Assumptions'!$G$8=""),'3. Basic Input &amp; Assumptions'!$G$9="Yes"),'2b. Annual Total Budget Summary'!H54+'2b. Annual Total Budget Summary'!J54+'2b. Annual Total Budget Summary'!K54,0)))))))))))))))</f>
        <v>0</v>
      </c>
      <c r="E54" s="315" t="str">
        <f>IF('3. Basic Input &amp; Assumptions'!$G$6="Yes",'4. ACT'!D95,"")</f>
        <v/>
      </c>
      <c r="F54" s="302" t="str">
        <f>IF('3. Basic Input &amp; Assumptions'!$G$7="Yes",'5. ICM'!D107,"")</f>
        <v/>
      </c>
      <c r="G54" s="302" t="str">
        <f>IF('3. Basic Input &amp; Assumptions'!$G$8="Yes",'6. TSS'!D100,"")</f>
        <v/>
      </c>
      <c r="H54" s="302" t="str">
        <f>IF('3. Basic Input &amp; Assumptions'!$G$9="Yes",'7. CTI'!D95,"")</f>
        <v/>
      </c>
      <c r="J54" s="195"/>
      <c r="K54" s="196"/>
    </row>
    <row r="55" spans="2:11">
      <c r="B55" s="107" t="s">
        <v>84</v>
      </c>
      <c r="C55" s="99">
        <f>IF(AND('3. Basic Input &amp; Assumptions'!$G$6="Yes",'3. Basic Input &amp; Assumptions'!$G$7="Yes",'3. Basic Input &amp; Assumptions'!$G$8="Yes",'3. Basic Input &amp; Assumptions'!$G$9="Yes"),'2b. Annual Total Budget Summary'!E55+'2b. Annual Total Budget Summary'!F55+'2b. Annual Total Budget Summary'!G55+'2b. Annual Total Budget Summary'!H55+'2b. Annual Total Budget Summary'!J55+'2b. Annual Total Budget Summary'!K55,IF(AND('3. Basic Input &amp; Assumptions'!$G$6="Yes",'3. Basic Input &amp; Assumptions'!$G$7="Yes",'3. Basic Input &amp; Assumptions'!$G$8="Yes",OR('3. Basic Input &amp; Assumptions'!$G$9="No",'3. Basic Input &amp; Assumptions'!$G$9="")),'2b. Annual Total Budget Summary'!E55+'2b. Annual Total Budget Summary'!F55+'2b. Annual Total Budget Summary'!G55+'2b. Annual Total Budget Summary'!J55+'2b. Annual Total Budget Summary'!K55,IF(AND('3. Basic Input &amp; Assumptions'!$G$6="Yes",'3. Basic Input &amp; Assumptions'!$G$7="Yes",OR('3. Basic Input &amp; Assumptions'!$G$8="No",'3. Basic Input &amp; Assumptions'!$G$8=""),OR('3. Basic Input &amp; Assumptions'!$G$9="No",'3. Basic Input &amp; Assumptions'!$G$9="")),'2b. Annual Total Budget Summary'!E55+'2b. Annual Total Budget Summary'!F55+'2b. Annual Total Budget Summary'!J55+'2b. Annual Total Budget Summary'!K55,IF(AND('3. Basic Input &amp; Assumptions'!$G$6="Yes",OR('3. Basic Input &amp; Assumptions'!$G$7="No",'3. Basic Input &amp; Assumptions'!$G$7=""),OR('3. Basic Input &amp; Assumptions'!$G$8="No",'3. Basic Input &amp; Assumptions'!$G$8=""),OR('3. Basic Input &amp; Assumptions'!$G$9="No",'3. Basic Input &amp; Assumptions'!$G$9="")),'2b. Annual Total Budget Summary'!E55+'2b. Annual Total Budget Summary'!J55+'2b. Annual Total Budget Summary'!K55,IF(AND('3. Basic Input &amp; Assumptions'!$G$6="Yes",OR('3. Basic Input &amp; Assumptions'!$G$7="No",'3. Basic Input &amp; Assumptions'!$G$7=""),'3. Basic Input &amp; Assumptions'!$G$8="Yes",'3. Basic Input &amp; Assumptions'!$G$9="Yes"),'2b. Annual Total Budget Summary'!E55+'2b. Annual Total Budget Summary'!G55+'2b. Annual Total Budget Summary'!H55+'2b. Annual Total Budget Summary'!J55+'2b. Annual Total Budget Summary'!K55,IF(AND('3. Basic Input &amp; Assumptions'!$G$6="Yes",OR('3. Basic Input &amp; Assumptions'!$G$7="No",'3. Basic Input &amp; Assumptions'!$G$7=""),'3. Basic Input &amp; Assumptions'!$G$8="Yes",OR('3. Basic Input &amp; Assumptions'!$G$9="No",'3. Basic Input &amp; Assumptions'!$G$9="")),'2b. Annual Total Budget Summary'!E55+'2b. Annual Total Budget Summary'!G55+'2b. Annual Total Budget Summary'!J55+'2b. Annual Total Budget Summary'!K55,IF(AND('3. Basic Input &amp; Assumptions'!$G$6="Yes",OR('3. Basic Input &amp; Assumptions'!$G$7="No",'3. Basic Input &amp; Assumptions'!$G$7=""),OR('3. Basic Input &amp; Assumptions'!$G$8="No",'3. Basic Input &amp; Assumptions'!$G$8=""),'3. Basic Input &amp; Assumptions'!$G$9="Yes"),'2b. Annual Total Budget Summary'!E55+'2b. Annual Total Budget Summary'!H55+'2b. Annual Total Budget Summary'!J55+'2b. Annual Total Budget Summary'!K55,IF(AND('3. Basic Input &amp; Assumptions'!$G$6="Yes",'3. Basic Input &amp; Assumptions'!$G$7="Yes",OR('3. Basic Input &amp; Assumptions'!$G$8="No",'3. Basic Input &amp; Assumptions'!$G$8=""),'3. Basic Input &amp; Assumptions'!$G$9="Yes"),'2b. Annual Total Budget Summary'!E55+'2b. Annual Total Budget Summary'!F55+'2b. Annual Total Budget Summary'!H55+'2b. Annual Total Budget Summary'!J55+'2b. Annual Total Budget Summary'!K55,IF(AND(OR('3. Basic Input &amp; Assumptions'!$G$6="No",'3. Basic Input &amp; Assumptions'!$G$6=""),'3. Basic Input &amp; Assumptions'!$G$7="Yes",'3. Basic Input &amp; Assumptions'!$G$8="Yes",'3. Basic Input &amp; Assumptions'!$G$9="Yes"),'2b. Annual Total Budget Summary'!F55+'2b. Annual Total Budget Summary'!G55+'2b. Annual Total Budget Summary'!H55+'2b. Annual Total Budget Summary'!J55+'2b. Annual Total Budget Summary'!K55,IF(AND(OR('3. Basic Input &amp; Assumptions'!$G$6="No",'3. Basic Input &amp; Assumptions'!$G$6=""),'3. Basic Input &amp; Assumptions'!$G$7="Yes",'3. Basic Input &amp; Assumptions'!$G$8="Yes",OR('3. Basic Input &amp; Assumptions'!$G$9="No",'3. Basic Input &amp; Assumptions'!$G$9="")),'2b. Annual Total Budget Summary'!F55+'2b. Annual Total Budget Summary'!G55+'2b. Annual Total Budget Summary'!J55+'2b. Annual Total Budget Summary'!K55,IF(AND(OR('3. Basic Input &amp; Assumptions'!$G$6="No",'3. Basic Input &amp; Assumptions'!$G$6=""),'3. Basic Input &amp; Assumptions'!$G$7="Yes",OR('3. Basic Input &amp; Assumptions'!$G$8="No",'3. Basic Input &amp; Assumptions'!$G$8=""),'3. Basic Input &amp; Assumptions'!$G$9="Yes"),'2b. Annual Total Budget Summary'!F55+'2b. Annual Total Budget Summary'!H55+'2b. Annual Total Budget Summary'!J55+'2b. Annual Total Budget Summary'!K55,IF(AND(OR('3. Basic Input &amp; Assumptions'!$G$6="No",'3. Basic Input &amp; Assumptions'!$G$6=""),'3. Basic Input &amp; Assumptions'!$G$7="Yes",OR('3. Basic Input &amp; Assumptions'!$G$8="No",'3. Basic Input &amp; Assumptions'!$G$8=""),OR('3. Basic Input &amp; Assumptions'!$G$9="No",'3. Basic Input &amp; Assumptions'!$G$9="")),'2b. Annual Total Budget Summary'!F55+'2b. Annual Total Budget Summary'!J55+'2b. Annual Total Budget Summary'!K55,IF(AND(OR('3. Basic Input &amp; Assumptions'!$G$6="No",'3. Basic Input &amp; Assumptions'!$G$6=""),OR('3. Basic Input &amp; Assumptions'!$G$7="No",'3. Basic Input &amp; Assumptions'!$G$7=""),'3. Basic Input &amp; Assumptions'!$G$8="Yes",OR('3. Basic Input &amp; Assumptions'!$G$9="No",'3. Basic Input &amp; Assumptions'!$G$9="")),'2b. Annual Total Budget Summary'!G55+'2b. Annual Total Budget Summary'!J55+'2b. Annual Total Budget Summary'!K55,IF(AND(OR('3. Basic Input &amp; Assumptions'!$G$6="No",'3. Basic Input &amp; Assumptions'!$G$6=""),OR('3. Basic Input &amp; Assumptions'!$G$7="No",'3. Basic Input &amp; Assumptions'!$G$7=""),'3. Basic Input &amp; Assumptions'!$G$8="Yes",'3. Basic Input &amp; Assumptions'!$G$9="Yes"),'2b. Annual Total Budget Summary'!G55+'2b. Annual Total Budget Summary'!H55+'2b. Annual Total Budget Summary'!J55+'2b. Annual Total Budget Summary'!K55,IF(AND(OR('3. Basic Input &amp; Assumptions'!$G$6="No",'3. Basic Input &amp; Assumptions'!$G$6=""),OR('3. Basic Input &amp; Assumptions'!$G$7="No",'3. Basic Input &amp; Assumptions'!$G$7=""),OR('3. Basic Input &amp; Assumptions'!$G$8="No",'3. Basic Input &amp; Assumptions'!$G$8=""),'3. Basic Input &amp; Assumptions'!$G$9="Yes"),'2b. Annual Total Budget Summary'!H55+'2b. Annual Total Budget Summary'!J55+'2b. Annual Total Budget Summary'!K55,0)))))))))))))))</f>
        <v>0</v>
      </c>
      <c r="E55" s="211" t="str">
        <f>IF('3. Basic Input &amp; Assumptions'!$G$6="Yes",'4. ACT'!D96,"")</f>
        <v/>
      </c>
      <c r="F55" s="212" t="str">
        <f>IF('3. Basic Input &amp; Assumptions'!$G$7="Yes",'5. ICM'!D108,"")</f>
        <v/>
      </c>
      <c r="G55" s="209" t="str">
        <f>IF('3. Basic Input &amp; Assumptions'!$G$8="Yes",'6. TSS'!D101,"")</f>
        <v/>
      </c>
      <c r="H55" s="212" t="str">
        <f>IF('3. Basic Input &amp; Assumptions'!$G$9="Yes",'7. CTI'!D96,"")</f>
        <v/>
      </c>
      <c r="J55" s="182"/>
      <c r="K55" s="190"/>
    </row>
    <row r="56" spans="2:11">
      <c r="B56" s="109"/>
      <c r="C56" s="110"/>
      <c r="E56" s="216"/>
      <c r="F56" s="110"/>
      <c r="G56" s="110"/>
      <c r="H56" s="110"/>
      <c r="J56" s="197"/>
      <c r="K56" s="117"/>
    </row>
    <row r="57" spans="2:11" ht="16.5" thickBot="1">
      <c r="B57" s="111" t="s">
        <v>85</v>
      </c>
      <c r="C57" s="112">
        <f>IF(AND('3. Basic Input &amp; Assumptions'!$G$6="Yes",'3. Basic Input &amp; Assumptions'!$G$7="Yes",'3. Basic Input &amp; Assumptions'!$G$8="Yes",'3. Basic Input &amp; Assumptions'!$G$9="Yes"),'2b. Annual Total Budget Summary'!E57+'2b. Annual Total Budget Summary'!F57+'2b. Annual Total Budget Summary'!G57+'2b. Annual Total Budget Summary'!H57+'2b. Annual Total Budget Summary'!J57+'2b. Annual Total Budget Summary'!K57,IF(AND('3. Basic Input &amp; Assumptions'!$G$6="Yes",'3. Basic Input &amp; Assumptions'!$G$7="Yes",'3. Basic Input &amp; Assumptions'!$G$8="Yes",OR('3. Basic Input &amp; Assumptions'!$G$9="No",'3. Basic Input &amp; Assumptions'!$G$9="")),'2b. Annual Total Budget Summary'!E57+'2b. Annual Total Budget Summary'!F57+'2b. Annual Total Budget Summary'!G57+'2b. Annual Total Budget Summary'!J57+'2b. Annual Total Budget Summary'!K57,IF(AND('3. Basic Input &amp; Assumptions'!$G$6="Yes",'3. Basic Input &amp; Assumptions'!$G$7="Yes",OR('3. Basic Input &amp; Assumptions'!$G$8="No",'3. Basic Input &amp; Assumptions'!$G$8=""),OR('3. Basic Input &amp; Assumptions'!$G$9="No",'3. Basic Input &amp; Assumptions'!$G$9="")),'2b. Annual Total Budget Summary'!E57+'2b. Annual Total Budget Summary'!F57+'2b. Annual Total Budget Summary'!J57+'2b. Annual Total Budget Summary'!K57,IF(AND('3. Basic Input &amp; Assumptions'!$G$6="Yes",OR('3. Basic Input &amp; Assumptions'!$G$7="No",'3. Basic Input &amp; Assumptions'!$G$7=""),OR('3. Basic Input &amp; Assumptions'!$G$8="No",'3. Basic Input &amp; Assumptions'!$G$8=""),OR('3. Basic Input &amp; Assumptions'!$G$9="No",'3. Basic Input &amp; Assumptions'!$G$9="")),'2b. Annual Total Budget Summary'!E57+'2b. Annual Total Budget Summary'!J57+'2b. Annual Total Budget Summary'!K57,IF(AND('3. Basic Input &amp; Assumptions'!$G$6="Yes",OR('3. Basic Input &amp; Assumptions'!$G$7="No",'3. Basic Input &amp; Assumptions'!$G$7=""),'3. Basic Input &amp; Assumptions'!$G$8="Yes",'3. Basic Input &amp; Assumptions'!$G$9="Yes"),'2b. Annual Total Budget Summary'!E57+'2b. Annual Total Budget Summary'!G57+'2b. Annual Total Budget Summary'!H57+'2b. Annual Total Budget Summary'!J57+'2b. Annual Total Budget Summary'!K57,IF(AND('3. Basic Input &amp; Assumptions'!$G$6="Yes",OR('3. Basic Input &amp; Assumptions'!$G$7="No",'3. Basic Input &amp; Assumptions'!$G$7=""),'3. Basic Input &amp; Assumptions'!$G$8="Yes",OR('3. Basic Input &amp; Assumptions'!$G$9="No",'3. Basic Input &amp; Assumptions'!$G$9="")),'2b. Annual Total Budget Summary'!E57+'2b. Annual Total Budget Summary'!G57+'2b. Annual Total Budget Summary'!J57+'2b. Annual Total Budget Summary'!K57,IF(AND('3. Basic Input &amp; Assumptions'!$G$6="Yes",OR('3. Basic Input &amp; Assumptions'!$G$7="No",'3. Basic Input &amp; Assumptions'!$G$7=""),OR('3. Basic Input &amp; Assumptions'!$G$8="No",'3. Basic Input &amp; Assumptions'!$G$8=""),'3. Basic Input &amp; Assumptions'!$G$9="Yes"),'2b. Annual Total Budget Summary'!E57+'2b. Annual Total Budget Summary'!H57+'2b. Annual Total Budget Summary'!J57+'2b. Annual Total Budget Summary'!K57,IF(AND('3. Basic Input &amp; Assumptions'!$G$6="Yes",'3. Basic Input &amp; Assumptions'!$G$7="Yes",OR('3. Basic Input &amp; Assumptions'!$G$8="No",'3. Basic Input &amp; Assumptions'!$G$8=""),'3. Basic Input &amp; Assumptions'!$G$9="Yes"),'2b. Annual Total Budget Summary'!E57+'2b. Annual Total Budget Summary'!F57+'2b. Annual Total Budget Summary'!H57+'2b. Annual Total Budget Summary'!J57+'2b. Annual Total Budget Summary'!K57,IF(AND(OR('3. Basic Input &amp; Assumptions'!$G$6="No",'3. Basic Input &amp; Assumptions'!$G$6=""),'3. Basic Input &amp; Assumptions'!$G$7="Yes",'3. Basic Input &amp; Assumptions'!$G$8="Yes",'3. Basic Input &amp; Assumptions'!$G$9="Yes"),'2b. Annual Total Budget Summary'!F57+'2b. Annual Total Budget Summary'!G57+'2b. Annual Total Budget Summary'!H57+'2b. Annual Total Budget Summary'!J57+'2b. Annual Total Budget Summary'!K57,IF(AND(OR('3. Basic Input &amp; Assumptions'!$G$6="No",'3. Basic Input &amp; Assumptions'!$G$6=""),'3. Basic Input &amp; Assumptions'!$G$7="Yes",'3. Basic Input &amp; Assumptions'!$G$8="Yes",OR('3. Basic Input &amp; Assumptions'!$G$9="No",'3. Basic Input &amp; Assumptions'!$G$9="")),'2b. Annual Total Budget Summary'!F57+'2b. Annual Total Budget Summary'!G57+'2b. Annual Total Budget Summary'!J57+'2b. Annual Total Budget Summary'!K57,IF(AND(OR('3. Basic Input &amp; Assumptions'!$G$6="No",'3. Basic Input &amp; Assumptions'!$G$6=""),'3. Basic Input &amp; Assumptions'!$G$7="Yes",OR('3. Basic Input &amp; Assumptions'!$G$8="No",'3. Basic Input &amp; Assumptions'!$G$8=""),'3. Basic Input &amp; Assumptions'!$G$9="Yes"),'2b. Annual Total Budget Summary'!F57+'2b. Annual Total Budget Summary'!H57+'2b. Annual Total Budget Summary'!J57+'2b. Annual Total Budget Summary'!K57,IF(AND(OR('3. Basic Input &amp; Assumptions'!$G$6="No",'3. Basic Input &amp; Assumptions'!$G$6=""),'3. Basic Input &amp; Assumptions'!$G$7="Yes",OR('3. Basic Input &amp; Assumptions'!$G$8="No",'3. Basic Input &amp; Assumptions'!$G$8=""),OR('3. Basic Input &amp; Assumptions'!$G$9="No",'3. Basic Input &amp; Assumptions'!$G$9="")),'2b. Annual Total Budget Summary'!F57+'2b. Annual Total Budget Summary'!J57+'2b. Annual Total Budget Summary'!K57,IF(AND(OR('3. Basic Input &amp; Assumptions'!$G$6="No",'3. Basic Input &amp; Assumptions'!$G$6=""),OR('3. Basic Input &amp; Assumptions'!$G$7="No",'3. Basic Input &amp; Assumptions'!$G$7=""),'3. Basic Input &amp; Assumptions'!$G$8="Yes",OR('3. Basic Input &amp; Assumptions'!$G$9="No",'3. Basic Input &amp; Assumptions'!$G$9="")),'2b. Annual Total Budget Summary'!G57+'2b. Annual Total Budget Summary'!J57+'2b. Annual Total Budget Summary'!K57,IF(AND(OR('3. Basic Input &amp; Assumptions'!$G$6="No",'3. Basic Input &amp; Assumptions'!$G$6=""),OR('3. Basic Input &amp; Assumptions'!$G$7="No",'3. Basic Input &amp; Assumptions'!$G$7=""),'3. Basic Input &amp; Assumptions'!$G$8="Yes",'3. Basic Input &amp; Assumptions'!$G$9="Yes"),'2b. Annual Total Budget Summary'!G57+'2b. Annual Total Budget Summary'!H57+'2b. Annual Total Budget Summary'!J57+'2b. Annual Total Budget Summary'!K57,IF(AND(OR('3. Basic Input &amp; Assumptions'!$G$6="No",'3. Basic Input &amp; Assumptions'!$G$6=""),OR('3. Basic Input &amp; Assumptions'!$G$7="No",'3. Basic Input &amp; Assumptions'!$G$7=""),OR('3. Basic Input &amp; Assumptions'!$G$8="No",'3. Basic Input &amp; Assumptions'!$G$8=""),'3. Basic Input &amp; Assumptions'!$G$9="Yes"),'2b. Annual Total Budget Summary'!H57+'2b. Annual Total Budget Summary'!J57+'2b. Annual Total Budget Summary'!K57,0)))))))))))))))</f>
        <v>0</v>
      </c>
      <c r="E57" s="217" t="str">
        <f>IF('3. Basic Input &amp; Assumptions'!$G$6="Yes",'4. ACT'!D98,"")</f>
        <v/>
      </c>
      <c r="F57" s="112" t="str">
        <f>IF('3. Basic Input &amp; Assumptions'!$G$7="Yes",'5. ICM'!D110,"")</f>
        <v/>
      </c>
      <c r="G57" s="112" t="str">
        <f>IF('3. Basic Input &amp; Assumptions'!$G$8="Yes",'6. TSS'!D103,"")</f>
        <v/>
      </c>
      <c r="H57" s="112" t="str">
        <f>IF('3. Basic Input &amp; Assumptions'!$G$9="Yes",'7. CTI'!D98,"")</f>
        <v/>
      </c>
      <c r="J57" s="571"/>
      <c r="K57" s="570"/>
    </row>
  </sheetData>
  <sheetProtection algorithmName="SHA-512" hashValue="t9bB7zU/tOY5Ph40W+/08rKC2unc7gfj29y70dJVyKCol2chbTYH7SI6mzuNHqwfQVVjTFNzCqAB/7RlEJJwfA==" saltValue="rf+pVifkl+Opx76IkbGjjg==" spinCount="100000" sheet="1" objects="1" scenarios="1"/>
  <mergeCells count="6">
    <mergeCell ref="C5:J5"/>
    <mergeCell ref="B3:K3"/>
    <mergeCell ref="A2:K2"/>
    <mergeCell ref="C4:J4"/>
    <mergeCell ref="B9:K9"/>
    <mergeCell ref="C7:J7"/>
  </mergeCells>
  <conditionalFormatting sqref="C5:J5">
    <cfRule type="containsText" dxfId="20" priority="1" operator="containsText" text="None">
      <formula>NOT(ISERROR(SEARCH("None",C5)))</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expression" priority="75" id="{BD778F8A-D82F-4DBA-B9FE-EFE16B8D6C3B}">
            <xm:f>'3. Basic Input &amp; Assumptions'!$G$12="No"</xm:f>
            <x14:dxf>
              <font>
                <color theme="9" tint="0.79998168889431442"/>
              </font>
            </x14:dxf>
          </x14:cfRule>
          <xm:sqref>J11:J46</xm:sqref>
        </x14:conditionalFormatting>
        <x14:conditionalFormatting xmlns:xm="http://schemas.microsoft.com/office/excel/2006/main">
          <x14:cfRule type="expression" priority="76" id="{FA464A20-A170-4D8B-A6BF-119BE2F0C4F1}">
            <xm:f>'3. Basic Input &amp; Assumptions'!$G$13="No"</xm:f>
            <x14:dxf>
              <font>
                <color theme="9" tint="0.79998168889431442"/>
              </font>
            </x14:dxf>
          </x14:cfRule>
          <xm:sqref>K11:K46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P93"/>
  <sheetViews>
    <sheetView showGridLines="0" zoomScale="110" zoomScaleNormal="110" workbookViewId="0">
      <selection activeCell="G12" sqref="G12"/>
    </sheetView>
  </sheetViews>
  <sheetFormatPr defaultColWidth="9.140625" defaultRowHeight="15.75"/>
  <cols>
    <col min="1" max="2" width="2.85546875" style="19" customWidth="1"/>
    <col min="3" max="3" width="19.42578125" style="19" customWidth="1"/>
    <col min="4" max="4" width="10" style="19" customWidth="1"/>
    <col min="5" max="5" width="18.42578125" style="19" customWidth="1"/>
    <col min="6" max="6" width="24.5703125" style="21" customWidth="1"/>
    <col min="7" max="7" width="24.5703125" style="20" customWidth="1"/>
    <col min="8" max="8" width="24.5703125" style="163" customWidth="1"/>
    <col min="9" max="9" width="24.5703125" style="19" customWidth="1"/>
    <col min="10" max="10" width="9.85546875" style="19" customWidth="1"/>
    <col min="11" max="11" width="8" style="19" customWidth="1"/>
    <col min="12" max="12" width="7.7109375" style="19" customWidth="1"/>
    <col min="13" max="13" width="15.42578125" style="19" customWidth="1"/>
    <col min="14" max="14" width="12.85546875" style="19" customWidth="1"/>
    <col min="15" max="15" width="19.7109375" style="19" customWidth="1"/>
    <col min="16" max="16384" width="9.140625" style="19"/>
  </cols>
  <sheetData>
    <row r="1" spans="1:16" s="47" customFormat="1">
      <c r="B1" s="623"/>
      <c r="C1" s="625"/>
      <c r="D1" s="625"/>
      <c r="H1" s="630"/>
    </row>
    <row r="2" spans="1:16" ht="30" customHeight="1">
      <c r="A2" s="674" t="s">
        <v>86</v>
      </c>
      <c r="B2" s="674"/>
      <c r="C2" s="674"/>
      <c r="D2" s="674"/>
      <c r="E2" s="674"/>
      <c r="F2" s="674"/>
      <c r="G2" s="674"/>
      <c r="H2" s="674"/>
      <c r="I2" s="162"/>
    </row>
    <row r="3" spans="1:16" ht="9.75" customHeight="1"/>
    <row r="4" spans="1:16" s="49" customFormat="1" ht="57.75" customHeight="1">
      <c r="C4" s="707" t="s">
        <v>87</v>
      </c>
      <c r="D4" s="707"/>
      <c r="E4" s="707"/>
      <c r="F4" s="707"/>
      <c r="G4" s="707"/>
      <c r="H4" s="707"/>
      <c r="I4" s="707"/>
      <c r="J4" s="707"/>
      <c r="K4" s="707"/>
      <c r="L4" s="707"/>
      <c r="M4" s="707"/>
      <c r="N4" s="707"/>
    </row>
    <row r="5" spans="1:16" ht="17.25" customHeight="1">
      <c r="C5" s="63" t="s">
        <v>416</v>
      </c>
      <c r="D5" s="63"/>
      <c r="H5" s="678" t="s">
        <v>89</v>
      </c>
      <c r="I5" s="678"/>
      <c r="J5" s="678"/>
      <c r="K5" s="678" t="s">
        <v>90</v>
      </c>
      <c r="L5" s="678"/>
      <c r="M5" s="678"/>
      <c r="N5" s="678"/>
      <c r="P5" s="169"/>
    </row>
    <row r="6" spans="1:16" ht="18.75">
      <c r="C6" s="681" t="s">
        <v>91</v>
      </c>
      <c r="D6" s="681"/>
      <c r="E6" s="681"/>
      <c r="F6" s="681"/>
      <c r="G6" s="62" t="s">
        <v>97</v>
      </c>
      <c r="H6" s="679" t="s">
        <v>92</v>
      </c>
      <c r="I6" s="679"/>
      <c r="J6" s="679"/>
      <c r="K6" s="710" t="s">
        <v>93</v>
      </c>
      <c r="L6" s="710"/>
      <c r="M6" s="710"/>
      <c r="N6" s="710"/>
      <c r="P6" s="170" t="s">
        <v>88</v>
      </c>
    </row>
    <row r="7" spans="1:16" ht="18.75">
      <c r="C7" s="680" t="s">
        <v>94</v>
      </c>
      <c r="D7" s="680"/>
      <c r="E7" s="680"/>
      <c r="F7" s="680"/>
      <c r="G7" s="62" t="s">
        <v>97</v>
      </c>
      <c r="H7" s="679" t="s">
        <v>95</v>
      </c>
      <c r="I7" s="679"/>
      <c r="J7" s="679"/>
      <c r="K7" s="710" t="s">
        <v>96</v>
      </c>
      <c r="L7" s="710"/>
      <c r="M7" s="710"/>
      <c r="N7" s="710"/>
      <c r="P7" s="170" t="s">
        <v>97</v>
      </c>
    </row>
    <row r="8" spans="1:16">
      <c r="C8" s="680" t="s">
        <v>98</v>
      </c>
      <c r="D8" s="680"/>
      <c r="E8" s="680"/>
      <c r="F8" s="680"/>
      <c r="G8" s="62" t="s">
        <v>97</v>
      </c>
      <c r="H8" s="679" t="s">
        <v>99</v>
      </c>
      <c r="I8" s="679"/>
      <c r="J8" s="679"/>
      <c r="K8" s="710" t="s">
        <v>100</v>
      </c>
      <c r="L8" s="710"/>
      <c r="M8" s="710"/>
      <c r="N8" s="710"/>
      <c r="P8" s="169"/>
    </row>
    <row r="9" spans="1:16">
      <c r="C9" s="681" t="s">
        <v>101</v>
      </c>
      <c r="D9" s="681"/>
      <c r="E9" s="681"/>
      <c r="F9" s="681"/>
      <c r="G9" s="62" t="s">
        <v>97</v>
      </c>
      <c r="H9" s="679" t="s">
        <v>102</v>
      </c>
      <c r="I9" s="679"/>
      <c r="J9" s="679"/>
      <c r="K9" s="710" t="s">
        <v>103</v>
      </c>
      <c r="L9" s="710"/>
      <c r="M9" s="710"/>
      <c r="N9" s="710"/>
    </row>
    <row r="10" spans="1:16">
      <c r="C10" s="63"/>
    </row>
    <row r="11" spans="1:16" customFormat="1" ht="12.75" customHeight="1">
      <c r="C11" s="63" t="s">
        <v>392</v>
      </c>
    </row>
    <row r="12" spans="1:16">
      <c r="C12" s="675" t="s">
        <v>365</v>
      </c>
      <c r="D12" s="675"/>
      <c r="E12" s="675"/>
      <c r="F12" s="675"/>
      <c r="G12" s="62" t="s">
        <v>97</v>
      </c>
      <c r="H12" s="676" t="s">
        <v>385</v>
      </c>
      <c r="I12" s="677"/>
      <c r="J12" s="147"/>
    </row>
    <row r="13" spans="1:16">
      <c r="C13" s="675" t="s">
        <v>387</v>
      </c>
      <c r="D13" s="675"/>
      <c r="E13" s="675"/>
      <c r="F13" s="675"/>
      <c r="G13" s="62" t="s">
        <v>88</v>
      </c>
      <c r="H13" s="676" t="s">
        <v>386</v>
      </c>
      <c r="I13" s="677"/>
      <c r="J13" s="147"/>
    </row>
    <row r="14" spans="1:16" ht="30" customHeight="1">
      <c r="C14" s="63" t="s">
        <v>388</v>
      </c>
      <c r="K14" s="678" t="s">
        <v>104</v>
      </c>
      <c r="L14" s="678"/>
    </row>
    <row r="15" spans="1:16" ht="24" customHeight="1">
      <c r="C15" s="675" t="s">
        <v>105</v>
      </c>
      <c r="D15" s="675"/>
      <c r="E15" s="704" t="s">
        <v>340</v>
      </c>
      <c r="F15" s="704"/>
      <c r="G15" s="704"/>
      <c r="H15" s="704"/>
      <c r="I15" s="704"/>
      <c r="J15" s="704"/>
      <c r="K15" s="705">
        <v>0.15</v>
      </c>
      <c r="L15" s="705"/>
    </row>
    <row r="16" spans="1:16" ht="33.75" customHeight="1">
      <c r="C16" s="701" t="s">
        <v>417</v>
      </c>
      <c r="D16" s="701"/>
      <c r="E16" s="701" t="s">
        <v>415</v>
      </c>
      <c r="F16" s="701"/>
      <c r="G16" s="701"/>
      <c r="H16" s="701"/>
      <c r="I16" s="701"/>
      <c r="J16" s="701"/>
      <c r="K16" s="706">
        <v>20</v>
      </c>
      <c r="L16" s="706"/>
    </row>
    <row r="17" spans="3:12" ht="54" customHeight="1">
      <c r="C17" s="675" t="s">
        <v>414</v>
      </c>
      <c r="D17" s="675"/>
      <c r="E17" s="675" t="s">
        <v>418</v>
      </c>
      <c r="F17" s="675"/>
      <c r="G17" s="675"/>
      <c r="H17" s="675"/>
      <c r="I17" s="675"/>
      <c r="J17" s="675"/>
      <c r="K17" s="706">
        <v>5</v>
      </c>
      <c r="L17" s="706"/>
    </row>
    <row r="18" spans="3:12" ht="31.5" customHeight="1">
      <c r="C18" s="701" t="s">
        <v>106</v>
      </c>
      <c r="D18" s="701"/>
      <c r="E18" s="702" t="s">
        <v>393</v>
      </c>
      <c r="F18" s="702"/>
      <c r="G18" s="702"/>
      <c r="H18" s="702"/>
      <c r="I18" s="702"/>
      <c r="J18" s="702"/>
      <c r="K18" s="709">
        <v>0.67</v>
      </c>
      <c r="L18" s="709"/>
    </row>
    <row r="19" spans="3:12" ht="36" customHeight="1">
      <c r="C19" s="675" t="s">
        <v>107</v>
      </c>
      <c r="D19" s="675"/>
      <c r="E19" s="675" t="s">
        <v>108</v>
      </c>
      <c r="F19" s="675"/>
      <c r="G19" s="675"/>
      <c r="H19" s="675"/>
      <c r="I19" s="675"/>
      <c r="J19" s="675"/>
      <c r="K19" s="705">
        <v>7.4999999999999997E-2</v>
      </c>
      <c r="L19" s="705"/>
    </row>
    <row r="20" spans="3:12" ht="19.5" customHeight="1">
      <c r="C20" s="701" t="s">
        <v>109</v>
      </c>
      <c r="D20" s="701"/>
      <c r="E20" s="701" t="s">
        <v>341</v>
      </c>
      <c r="F20" s="701"/>
      <c r="G20" s="701"/>
      <c r="H20" s="701"/>
      <c r="I20" s="701"/>
      <c r="J20" s="701"/>
      <c r="K20" s="705">
        <v>0.32</v>
      </c>
      <c r="L20" s="705"/>
    </row>
    <row r="22" spans="3:12">
      <c r="C22" s="63" t="s">
        <v>389</v>
      </c>
    </row>
    <row r="23" spans="3:12">
      <c r="C23" s="686" t="s">
        <v>380</v>
      </c>
      <c r="D23" s="686"/>
      <c r="E23" s="686"/>
      <c r="F23" s="703" t="s">
        <v>398</v>
      </c>
      <c r="G23" s="703"/>
      <c r="H23"/>
      <c r="I23"/>
    </row>
    <row r="24" spans="3:12">
      <c r="C24" s="698" t="s">
        <v>110</v>
      </c>
      <c r="D24" s="699"/>
      <c r="E24" s="700"/>
      <c r="F24" s="164" t="s">
        <v>370</v>
      </c>
      <c r="G24" s="164" t="s">
        <v>371</v>
      </c>
      <c r="H24"/>
      <c r="I24"/>
    </row>
    <row r="25" spans="3:12" ht="80.25" customHeight="1">
      <c r="C25" s="695" t="s">
        <v>113</v>
      </c>
      <c r="D25" s="696"/>
      <c r="E25" s="697"/>
      <c r="F25" s="615">
        <v>10</v>
      </c>
      <c r="G25" s="615">
        <v>10</v>
      </c>
      <c r="H25"/>
      <c r="I25"/>
    </row>
    <row r="26" spans="3:12">
      <c r="F26" s="162"/>
      <c r="G26" s="162"/>
      <c r="H26"/>
      <c r="I26"/>
    </row>
    <row r="27" spans="3:12">
      <c r="C27" s="63" t="s">
        <v>114</v>
      </c>
      <c r="F27" s="712" t="s">
        <v>372</v>
      </c>
      <c r="G27" s="712"/>
      <c r="H27" s="712" t="s">
        <v>373</v>
      </c>
      <c r="I27" s="712"/>
    </row>
    <row r="28" spans="3:12">
      <c r="C28" s="698" t="s">
        <v>110</v>
      </c>
      <c r="D28" s="714"/>
      <c r="E28" s="715"/>
      <c r="F28" s="164" t="s">
        <v>111</v>
      </c>
      <c r="G28" s="164" t="s">
        <v>112</v>
      </c>
      <c r="H28" s="165" t="s">
        <v>370</v>
      </c>
      <c r="I28" s="165" t="s">
        <v>371</v>
      </c>
    </row>
    <row r="29" spans="3:12">
      <c r="C29" s="682" t="s">
        <v>115</v>
      </c>
      <c r="D29" s="683"/>
      <c r="E29" s="684"/>
      <c r="F29" s="609">
        <v>10</v>
      </c>
      <c r="G29" s="610">
        <v>15</v>
      </c>
      <c r="H29" s="69"/>
      <c r="I29" s="69"/>
    </row>
    <row r="30" spans="3:12">
      <c r="C30" s="682" t="s">
        <v>116</v>
      </c>
      <c r="D30" s="683"/>
      <c r="E30" s="684"/>
      <c r="F30" s="611">
        <v>10</v>
      </c>
      <c r="G30" s="612">
        <v>15</v>
      </c>
      <c r="H30" s="70"/>
      <c r="I30" s="70"/>
    </row>
    <row r="31" spans="3:12">
      <c r="C31" s="682" t="s">
        <v>117</v>
      </c>
      <c r="D31" s="683"/>
      <c r="E31" s="684"/>
      <c r="F31" s="611">
        <v>10</v>
      </c>
      <c r="G31" s="612">
        <v>10</v>
      </c>
      <c r="H31" s="70"/>
      <c r="I31" s="70"/>
    </row>
    <row r="32" spans="3:12">
      <c r="C32" s="682" t="s">
        <v>118</v>
      </c>
      <c r="D32" s="683"/>
      <c r="E32" s="684"/>
      <c r="F32" s="611">
        <v>10</v>
      </c>
      <c r="G32" s="612">
        <v>10</v>
      </c>
      <c r="H32" s="70"/>
      <c r="I32" s="70"/>
    </row>
    <row r="33" spans="3:11">
      <c r="C33" s="682" t="s">
        <v>119</v>
      </c>
      <c r="D33" s="683"/>
      <c r="E33" s="684"/>
      <c r="F33" s="611">
        <v>10</v>
      </c>
      <c r="G33" s="612">
        <v>15</v>
      </c>
      <c r="H33" s="70"/>
      <c r="I33" s="70"/>
    </row>
    <row r="34" spans="3:11">
      <c r="C34" s="689" t="s">
        <v>120</v>
      </c>
      <c r="D34" s="690"/>
      <c r="E34" s="691"/>
      <c r="F34" s="613">
        <v>10</v>
      </c>
      <c r="G34" s="614">
        <v>15</v>
      </c>
      <c r="H34" s="71"/>
      <c r="I34" s="71"/>
    </row>
    <row r="35" spans="3:11">
      <c r="F35" s="64"/>
      <c r="G35" s="162"/>
      <c r="H35" s="162"/>
      <c r="I35" s="162"/>
    </row>
    <row r="36" spans="3:11">
      <c r="C36" s="63" t="s">
        <v>121</v>
      </c>
      <c r="F36" s="711" t="s">
        <v>372</v>
      </c>
      <c r="G36" s="711"/>
      <c r="H36" s="712" t="s">
        <v>373</v>
      </c>
      <c r="I36" s="712"/>
    </row>
    <row r="37" spans="3:11">
      <c r="C37" s="698" t="s">
        <v>110</v>
      </c>
      <c r="D37" s="714"/>
      <c r="E37" s="715"/>
      <c r="F37" s="164" t="s">
        <v>111</v>
      </c>
      <c r="G37" s="164" t="s">
        <v>112</v>
      </c>
      <c r="H37" s="165" t="s">
        <v>370</v>
      </c>
      <c r="I37" s="165" t="s">
        <v>371</v>
      </c>
    </row>
    <row r="38" spans="3:11">
      <c r="C38" s="692" t="s">
        <v>115</v>
      </c>
      <c r="D38" s="693"/>
      <c r="E38" s="694"/>
      <c r="F38" s="609">
        <v>15</v>
      </c>
      <c r="G38" s="610">
        <v>20</v>
      </c>
      <c r="H38" s="69">
        <v>15</v>
      </c>
      <c r="I38" s="69">
        <v>20</v>
      </c>
    </row>
    <row r="39" spans="3:11">
      <c r="C39" s="682" t="s">
        <v>116</v>
      </c>
      <c r="D39" s="683"/>
      <c r="E39" s="684"/>
      <c r="F39" s="611">
        <v>10</v>
      </c>
      <c r="G39" s="612">
        <v>15</v>
      </c>
      <c r="H39" s="70">
        <v>10</v>
      </c>
      <c r="I39" s="70">
        <v>15</v>
      </c>
    </row>
    <row r="40" spans="3:11">
      <c r="C40" s="682" t="s">
        <v>117</v>
      </c>
      <c r="D40" s="683"/>
      <c r="E40" s="684"/>
      <c r="F40" s="611">
        <v>10</v>
      </c>
      <c r="G40" s="612">
        <v>10</v>
      </c>
      <c r="H40" s="70"/>
      <c r="I40" s="70"/>
    </row>
    <row r="41" spans="3:11">
      <c r="C41" s="682" t="s">
        <v>118</v>
      </c>
      <c r="D41" s="683"/>
      <c r="E41" s="684"/>
      <c r="F41" s="611">
        <v>10</v>
      </c>
      <c r="G41" s="612">
        <v>10</v>
      </c>
      <c r="H41" s="70"/>
      <c r="I41" s="70"/>
    </row>
    <row r="42" spans="3:11">
      <c r="C42" s="682" t="s">
        <v>119</v>
      </c>
      <c r="D42" s="683"/>
      <c r="E42" s="684"/>
      <c r="F42" s="611">
        <v>15</v>
      </c>
      <c r="G42" s="612">
        <v>15</v>
      </c>
      <c r="H42" s="70"/>
      <c r="I42" s="70"/>
    </row>
    <row r="43" spans="3:11">
      <c r="C43" s="689" t="s">
        <v>120</v>
      </c>
      <c r="D43" s="690"/>
      <c r="E43" s="691"/>
      <c r="F43" s="613">
        <v>15</v>
      </c>
      <c r="G43" s="614">
        <v>20</v>
      </c>
      <c r="H43" s="71"/>
      <c r="I43" s="71"/>
    </row>
    <row r="44" spans="3:11">
      <c r="F44" s="64"/>
      <c r="G44" s="162"/>
      <c r="H44" s="162"/>
      <c r="I44" s="162"/>
      <c r="J44" s="21"/>
    </row>
    <row r="45" spans="3:11">
      <c r="C45" s="63" t="s">
        <v>122</v>
      </c>
      <c r="F45" s="711" t="s">
        <v>372</v>
      </c>
      <c r="G45" s="711"/>
      <c r="H45" s="712" t="s">
        <v>373</v>
      </c>
      <c r="I45" s="712"/>
    </row>
    <row r="46" spans="3:11">
      <c r="C46" s="698" t="s">
        <v>110</v>
      </c>
      <c r="D46" s="714"/>
      <c r="E46" s="715"/>
      <c r="F46" s="164" t="s">
        <v>111</v>
      </c>
      <c r="G46" s="164" t="s">
        <v>112</v>
      </c>
      <c r="H46" s="165" t="s">
        <v>370</v>
      </c>
      <c r="I46" s="165" t="s">
        <v>371</v>
      </c>
      <c r="J46" s="65"/>
      <c r="K46" s="65"/>
    </row>
    <row r="47" spans="3:11">
      <c r="C47" s="692" t="s">
        <v>115</v>
      </c>
      <c r="D47" s="693"/>
      <c r="E47" s="694"/>
      <c r="F47" s="609">
        <v>20</v>
      </c>
      <c r="G47" s="610">
        <v>20</v>
      </c>
      <c r="H47" s="69"/>
      <c r="I47" s="69"/>
    </row>
    <row r="48" spans="3:11">
      <c r="C48" s="682" t="s">
        <v>116</v>
      </c>
      <c r="D48" s="683"/>
      <c r="E48" s="684"/>
      <c r="F48" s="611">
        <v>12</v>
      </c>
      <c r="G48" s="612">
        <v>12</v>
      </c>
      <c r="H48" s="70"/>
      <c r="I48" s="70"/>
    </row>
    <row r="49" spans="3:10">
      <c r="C49" s="689" t="s">
        <v>120</v>
      </c>
      <c r="D49" s="690"/>
      <c r="E49" s="691"/>
      <c r="F49" s="613">
        <v>15</v>
      </c>
      <c r="G49" s="614">
        <v>15</v>
      </c>
      <c r="H49" s="71"/>
      <c r="I49" s="71"/>
    </row>
    <row r="50" spans="3:10">
      <c r="C50" s="65"/>
      <c r="D50" s="66"/>
      <c r="E50" s="67"/>
      <c r="F50" s="67"/>
      <c r="G50" s="19"/>
    </row>
    <row r="51" spans="3:10">
      <c r="C51" s="63" t="s">
        <v>390</v>
      </c>
      <c r="F51" s="66" t="s">
        <v>394</v>
      </c>
      <c r="G51" s="19"/>
      <c r="I51" s="21"/>
      <c r="J51" s="21"/>
    </row>
    <row r="52" spans="3:10">
      <c r="C52" s="708" t="s">
        <v>123</v>
      </c>
      <c r="D52" s="708"/>
      <c r="E52" s="708"/>
      <c r="F52" s="608">
        <v>8</v>
      </c>
      <c r="G52" s="19"/>
      <c r="I52" s="21"/>
      <c r="J52" s="21"/>
    </row>
    <row r="53" spans="3:10">
      <c r="F53" s="19"/>
      <c r="G53" s="19"/>
    </row>
    <row r="54" spans="3:10">
      <c r="C54" s="63" t="s">
        <v>391</v>
      </c>
      <c r="D54" s="148"/>
      <c r="E54"/>
      <c r="F54" s="19"/>
      <c r="G54" s="19"/>
    </row>
    <row r="55" spans="3:10" ht="34.5" customHeight="1">
      <c r="C55" s="713" t="s">
        <v>124</v>
      </c>
      <c r="D55" s="713"/>
      <c r="E55" s="713"/>
      <c r="F55" s="713"/>
      <c r="G55" s="713"/>
      <c r="H55" s="713"/>
    </row>
    <row r="56" spans="3:10" ht="30.6" customHeight="1">
      <c r="C56" s="688" t="s">
        <v>125</v>
      </c>
      <c r="D56" s="688"/>
      <c r="E56" s="688"/>
      <c r="F56" s="688"/>
      <c r="G56" s="688"/>
      <c r="H56" s="688"/>
    </row>
    <row r="57" spans="3:10" ht="15.75" customHeight="1">
      <c r="C57" s="685" t="s">
        <v>126</v>
      </c>
      <c r="D57" s="685"/>
      <c r="E57" s="685"/>
      <c r="F57" s="685"/>
      <c r="G57" s="685"/>
      <c r="H57" s="685"/>
    </row>
    <row r="58" spans="3:10" ht="31.5" customHeight="1">
      <c r="C58" s="688" t="s">
        <v>127</v>
      </c>
      <c r="D58" s="688"/>
      <c r="E58" s="688"/>
      <c r="F58" s="688"/>
      <c r="G58" s="688"/>
      <c r="H58" s="688"/>
    </row>
    <row r="59" spans="3:10">
      <c r="C59" s="685" t="s">
        <v>396</v>
      </c>
      <c r="D59" s="685"/>
      <c r="E59" s="685"/>
      <c r="F59" s="685"/>
      <c r="G59" s="685"/>
      <c r="H59" s="685"/>
    </row>
    <row r="60" spans="3:10">
      <c r="C60" s="688" t="s">
        <v>397</v>
      </c>
      <c r="D60" s="688"/>
      <c r="E60" s="688"/>
      <c r="F60" s="688"/>
      <c r="G60" s="688"/>
      <c r="H60" s="688"/>
    </row>
    <row r="61" spans="3:10" ht="49.5" customHeight="1">
      <c r="C61" s="685" t="s">
        <v>128</v>
      </c>
      <c r="D61" s="685"/>
      <c r="E61" s="685"/>
      <c r="F61" s="685"/>
      <c r="G61" s="685"/>
      <c r="H61" s="685"/>
    </row>
    <row r="62" spans="3:10" ht="47.25" customHeight="1">
      <c r="C62" s="687" t="s">
        <v>395</v>
      </c>
      <c r="D62" s="687"/>
      <c r="E62" s="687"/>
      <c r="F62" s="687"/>
      <c r="G62" s="687"/>
      <c r="H62" s="687"/>
    </row>
    <row r="63" spans="3:10">
      <c r="F63" s="19"/>
      <c r="G63" s="19"/>
    </row>
    <row r="64" spans="3:10">
      <c r="F64" s="19"/>
      <c r="G64" s="19"/>
    </row>
    <row r="65" spans="6:7">
      <c r="F65" s="19"/>
      <c r="G65" s="19"/>
    </row>
    <row r="66" spans="6:7">
      <c r="F66" s="19"/>
      <c r="G66" s="19"/>
    </row>
    <row r="67" spans="6:7">
      <c r="F67" s="19"/>
      <c r="G67" s="19"/>
    </row>
    <row r="68" spans="6:7">
      <c r="F68" s="19"/>
      <c r="G68" s="19"/>
    </row>
    <row r="69" spans="6:7">
      <c r="F69" s="19"/>
      <c r="G69" s="19"/>
    </row>
    <row r="70" spans="6:7">
      <c r="F70" s="19"/>
      <c r="G70" s="19"/>
    </row>
    <row r="71" spans="6:7">
      <c r="F71" s="19"/>
      <c r="G71" s="19"/>
    </row>
    <row r="72" spans="6:7">
      <c r="F72" s="19"/>
      <c r="G72" s="19"/>
    </row>
    <row r="73" spans="6:7">
      <c r="F73" s="19"/>
      <c r="G73" s="19"/>
    </row>
    <row r="74" spans="6:7">
      <c r="F74" s="19"/>
      <c r="G74" s="19"/>
    </row>
    <row r="75" spans="6:7">
      <c r="F75" s="19"/>
      <c r="G75" s="19"/>
    </row>
    <row r="76" spans="6:7">
      <c r="F76" s="19"/>
      <c r="G76" s="19"/>
    </row>
    <row r="77" spans="6:7">
      <c r="F77" s="19"/>
      <c r="G77" s="19"/>
    </row>
    <row r="78" spans="6:7">
      <c r="F78" s="19"/>
      <c r="G78" s="19"/>
    </row>
    <row r="79" spans="6:7">
      <c r="F79" s="19"/>
      <c r="G79" s="19"/>
    </row>
    <row r="80" spans="6:7">
      <c r="F80" s="19"/>
      <c r="G80" s="19"/>
    </row>
    <row r="81" spans="6:7">
      <c r="F81" s="19"/>
      <c r="G81" s="19"/>
    </row>
    <row r="82" spans="6:7">
      <c r="F82" s="19"/>
      <c r="G82" s="19"/>
    </row>
    <row r="83" spans="6:7">
      <c r="F83" s="19"/>
      <c r="G83" s="19"/>
    </row>
    <row r="84" spans="6:7">
      <c r="F84" s="19"/>
      <c r="G84" s="19"/>
    </row>
    <row r="85" spans="6:7">
      <c r="F85" s="19"/>
      <c r="G85" s="19"/>
    </row>
    <row r="86" spans="6:7">
      <c r="F86" s="19"/>
      <c r="G86" s="19"/>
    </row>
    <row r="87" spans="6:7">
      <c r="F87" s="19"/>
      <c r="G87" s="19"/>
    </row>
    <row r="88" spans="6:7">
      <c r="F88" s="19"/>
      <c r="G88" s="19"/>
    </row>
    <row r="89" spans="6:7">
      <c r="F89" s="19"/>
      <c r="G89" s="19"/>
    </row>
    <row r="90" spans="6:7">
      <c r="F90" s="19"/>
      <c r="G90" s="19"/>
    </row>
    <row r="91" spans="6:7">
      <c r="F91" s="19"/>
      <c r="G91" s="19"/>
    </row>
    <row r="92" spans="6:7">
      <c r="F92" s="19"/>
      <c r="G92" s="19"/>
    </row>
    <row r="93" spans="6:7">
      <c r="F93" s="19"/>
      <c r="G93" s="19"/>
    </row>
  </sheetData>
  <sheetProtection algorithmName="SHA-512" hashValue="eraDCEYStMHMaPHbRFlP7jNUhUpIu+w54AzaBP7gmA9RyoET+Qe9gNpU0D27fR0ER4+xWw4JqroLXQqmQkNbbA==" saltValue="tku6I7LbeDaZ8MIENhc80g==" spinCount="100000" sheet="1" objects="1" scenarios="1"/>
  <mergeCells count="76">
    <mergeCell ref="C38:E38"/>
    <mergeCell ref="C37:E37"/>
    <mergeCell ref="C34:E34"/>
    <mergeCell ref="C43:E43"/>
    <mergeCell ref="C41:E41"/>
    <mergeCell ref="C30:E30"/>
    <mergeCell ref="C28:E28"/>
    <mergeCell ref="C33:E33"/>
    <mergeCell ref="C31:E31"/>
    <mergeCell ref="C29:E29"/>
    <mergeCell ref="K20:L20"/>
    <mergeCell ref="K19:L19"/>
    <mergeCell ref="K17:L17"/>
    <mergeCell ref="C4:N4"/>
    <mergeCell ref="C52:E52"/>
    <mergeCell ref="K14:L14"/>
    <mergeCell ref="K15:L15"/>
    <mergeCell ref="K18:L18"/>
    <mergeCell ref="K16:L16"/>
    <mergeCell ref="K5:N5"/>
    <mergeCell ref="K6:N6"/>
    <mergeCell ref="K7:N7"/>
    <mergeCell ref="K8:N8"/>
    <mergeCell ref="K9:N9"/>
    <mergeCell ref="C6:F6"/>
    <mergeCell ref="C7:F7"/>
    <mergeCell ref="E20:J20"/>
    <mergeCell ref="C20:D20"/>
    <mergeCell ref="C15:D15"/>
    <mergeCell ref="C16:D16"/>
    <mergeCell ref="C17:D17"/>
    <mergeCell ref="C18:D18"/>
    <mergeCell ref="C19:D19"/>
    <mergeCell ref="E17:J17"/>
    <mergeCell ref="E18:J18"/>
    <mergeCell ref="E19:J19"/>
    <mergeCell ref="E15:J15"/>
    <mergeCell ref="E16:J16"/>
    <mergeCell ref="C62:H62"/>
    <mergeCell ref="C60:H60"/>
    <mergeCell ref="C49:E49"/>
    <mergeCell ref="C47:E47"/>
    <mergeCell ref="C48:E48"/>
    <mergeCell ref="C58:H58"/>
    <mergeCell ref="C59:H59"/>
    <mergeCell ref="C61:H61"/>
    <mergeCell ref="C55:H55"/>
    <mergeCell ref="C56:H56"/>
    <mergeCell ref="C39:E39"/>
    <mergeCell ref="C42:E42"/>
    <mergeCell ref="C40:E40"/>
    <mergeCell ref="C57:H57"/>
    <mergeCell ref="C23:E23"/>
    <mergeCell ref="C25:E25"/>
    <mergeCell ref="C24:E24"/>
    <mergeCell ref="F23:G23"/>
    <mergeCell ref="F45:G45"/>
    <mergeCell ref="H45:I45"/>
    <mergeCell ref="C46:E46"/>
    <mergeCell ref="F27:G27"/>
    <mergeCell ref="H27:I27"/>
    <mergeCell ref="F36:G36"/>
    <mergeCell ref="H36:I36"/>
    <mergeCell ref="C32:E32"/>
    <mergeCell ref="A2:H2"/>
    <mergeCell ref="C12:F12"/>
    <mergeCell ref="C13:F13"/>
    <mergeCell ref="H12:I12"/>
    <mergeCell ref="H13:I13"/>
    <mergeCell ref="H5:J5"/>
    <mergeCell ref="H6:J6"/>
    <mergeCell ref="H7:J7"/>
    <mergeCell ref="H8:J8"/>
    <mergeCell ref="H9:J9"/>
    <mergeCell ref="C8:F8"/>
    <mergeCell ref="C9:F9"/>
  </mergeCells>
  <conditionalFormatting sqref="H6:J6">
    <cfRule type="expression" dxfId="17" priority="4">
      <formula>$G$6="No"</formula>
    </cfRule>
  </conditionalFormatting>
  <conditionalFormatting sqref="H7:J7">
    <cfRule type="expression" dxfId="16" priority="3">
      <formula>$G$7="No"</formula>
    </cfRule>
  </conditionalFormatting>
  <conditionalFormatting sqref="H8:J8">
    <cfRule type="expression" dxfId="15" priority="2">
      <formula>$G$8="No"</formula>
    </cfRule>
  </conditionalFormatting>
  <conditionalFormatting sqref="H9:J13">
    <cfRule type="expression" dxfId="14" priority="1">
      <formula>$G$9="No"</formula>
    </cfRule>
  </conditionalFormatting>
  <dataValidations count="2">
    <dataValidation type="list" allowBlank="1" showInputMessage="1" showErrorMessage="1" sqref="G12:G13" xr:uid="{00000000-0002-0000-0200-000000000000}">
      <formula1>"Yes,No"</formula1>
    </dataValidation>
    <dataValidation type="list" allowBlank="1" showInputMessage="1" showErrorMessage="1" sqref="G6:G13" xr:uid="{9B00651B-F858-45E3-A258-86D9D693D8DF}">
      <formula1>$P$6:$P$7</formula1>
    </dataValidation>
  </dataValidations>
  <hyperlinks>
    <hyperlink ref="H12:I12" location="'8. General Startup Costs'!A1" display="Link to General Startup Costs Tab" xr:uid="{70CE9829-1D38-4C17-943A-6173BAE43A96}"/>
    <hyperlink ref="H13:I13" location="'9. Medicaid Admin Costs'!A1" display="Link to Medicaid Administrative Costs Tab" xr:uid="{39A434E5-CF53-4247-AA72-9BCC801B91E9}"/>
    <hyperlink ref="H6:J6" r:id="rId1" display="Link to ACT Staffing Model Budget Tab" xr:uid="{A8A266D3-FE44-441E-A152-4571FF7BF2D9}"/>
    <hyperlink ref="H7:J7" location="'5. ICM'!A1" display="Link to ICM Staffing Model Budget Tab" xr:uid="{D929F8DA-AC9E-4240-BCDE-32417C30BC6B}"/>
    <hyperlink ref="H8:J8" location="'6. TSS'!A1" display="Link to TSS Staffing Model Budget Tab" xr:uid="{712FECF9-8AE1-4A35-B8FA-E79ED5787B9C}"/>
    <hyperlink ref="H9:J9" location="'7. CTI'!A1" display="Link to CTI Staffing Model Budget Tab" xr:uid="{3BBEC4EF-E8EC-49F3-8409-27DF6CBF9412}"/>
    <hyperlink ref="K7:N7" r:id="rId2" display="About the ICM Staffing Model" xr:uid="{B884A2DB-0ADC-4893-8CB4-A63F74ECC77A}"/>
    <hyperlink ref="K8:N8" r:id="rId3" display="About the TSS Staffing Model" xr:uid="{69FE6D01-A435-4FFF-801F-ECD44DA103B2}"/>
    <hyperlink ref="K9:N9" r:id="rId4" display="About the CTI Staffing Model" xr:uid="{982D3783-0997-4620-8894-CA81E5D6DE12}"/>
    <hyperlink ref="K6:N6" r:id="rId5" display="About the ACT Staffing Model" xr:uid="{D707DA9C-9B16-40E3-A809-6D35021B692D}"/>
  </hyperlinks>
  <pageMargins left="0.7" right="0.7" top="0.75" bottom="0.75" header="0.3" footer="0.3"/>
  <pageSetup orientation="landscape" r:id="rId6"/>
  <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B1:V103"/>
  <sheetViews>
    <sheetView showGridLines="0" zoomScale="110" zoomScaleNormal="110" workbookViewId="0">
      <selection activeCell="D42" sqref="D42"/>
    </sheetView>
  </sheetViews>
  <sheetFormatPr defaultColWidth="9.140625" defaultRowHeight="15.75"/>
  <cols>
    <col min="1" max="2" width="2.85546875" style="19" customWidth="1"/>
    <col min="3" max="3" width="38.28515625" style="49" customWidth="1"/>
    <col min="4" max="5" width="26.85546875" style="19" customWidth="1"/>
    <col min="6" max="6" width="27.85546875" style="19" customWidth="1"/>
    <col min="7" max="7" width="27.28515625" style="19" customWidth="1"/>
    <col min="8" max="8" width="2.5703125" style="19" customWidth="1"/>
    <col min="9" max="9" width="24.28515625" style="20" customWidth="1"/>
    <col min="10" max="11" width="24.28515625" style="19" customWidth="1"/>
    <col min="12" max="12" width="24.28515625" customWidth="1"/>
    <col min="13" max="13" width="2" customWidth="1"/>
    <col min="14" max="14" width="24.28515625" customWidth="1"/>
    <col min="15" max="15" width="25.28515625" customWidth="1"/>
    <col min="16" max="16" width="25.140625" customWidth="1"/>
    <col min="17" max="17" width="9.140625" customWidth="1"/>
    <col min="18" max="18" width="24.28515625" customWidth="1"/>
    <col min="19" max="19" width="21.7109375" style="19" customWidth="1"/>
    <col min="20" max="20" width="17" style="19" customWidth="1"/>
    <col min="21" max="21" width="19.7109375" style="19" customWidth="1"/>
    <col min="22" max="16384" width="9.140625" style="19"/>
  </cols>
  <sheetData>
    <row r="1" spans="2:22" s="47" customFormat="1">
      <c r="B1" s="623"/>
      <c r="C1" s="624"/>
      <c r="D1" s="625"/>
      <c r="E1" s="625"/>
      <c r="H1" s="625"/>
      <c r="L1" s="44"/>
      <c r="M1" s="44"/>
      <c r="N1" s="44"/>
      <c r="O1" s="44"/>
      <c r="P1" s="44"/>
      <c r="Q1" s="44"/>
      <c r="R1" s="44"/>
    </row>
    <row r="2" spans="2:22" ht="18.75">
      <c r="C2" s="440"/>
      <c r="D2" s="441" t="s">
        <v>129</v>
      </c>
      <c r="E2" s="441"/>
      <c r="F2" s="219"/>
      <c r="G2" s="219"/>
      <c r="H2" s="441"/>
    </row>
    <row r="4" spans="2:22">
      <c r="C4" s="63" t="s">
        <v>130</v>
      </c>
    </row>
    <row r="5" spans="2:22" ht="160.5" customHeight="1">
      <c r="C5" s="707" t="s">
        <v>419</v>
      </c>
      <c r="D5" s="707"/>
      <c r="E5" s="707"/>
      <c r="F5" s="707"/>
      <c r="G5" s="707"/>
      <c r="H5" s="54"/>
      <c r="I5"/>
      <c r="J5"/>
      <c r="K5"/>
    </row>
    <row r="6" spans="2:22" ht="9" customHeight="1">
      <c r="C6" s="203"/>
      <c r="D6" s="203"/>
      <c r="E6" s="203"/>
      <c r="F6" s="203"/>
      <c r="G6" s="203"/>
      <c r="H6" s="203"/>
      <c r="I6" s="54"/>
      <c r="J6" s="208"/>
      <c r="K6" s="208"/>
    </row>
    <row r="7" spans="2:22">
      <c r="C7" s="63" t="s">
        <v>381</v>
      </c>
    </row>
    <row r="8" spans="2:22" ht="18.75" customHeight="1">
      <c r="C8" s="442" t="s">
        <v>167</v>
      </c>
      <c r="D8" s="220" t="s">
        <v>131</v>
      </c>
      <c r="E8" s="221" t="s">
        <v>403</v>
      </c>
      <c r="H8" s="221"/>
      <c r="I8" s="221"/>
      <c r="J8" s="222" t="s">
        <v>132</v>
      </c>
      <c r="K8" s="222" t="s">
        <v>132</v>
      </c>
      <c r="S8" s="223"/>
      <c r="T8" s="223"/>
      <c r="U8" s="223"/>
      <c r="V8" s="223"/>
    </row>
    <row r="9" spans="2:22" ht="18.75" customHeight="1">
      <c r="B9" s="224"/>
      <c r="C9" s="14" t="s">
        <v>115</v>
      </c>
      <c r="D9" s="50">
        <v>100</v>
      </c>
      <c r="E9" s="62">
        <v>10</v>
      </c>
      <c r="F9" s="626"/>
      <c r="H9"/>
      <c r="I9" s="443"/>
      <c r="J9" s="225"/>
      <c r="K9" s="225"/>
      <c r="S9" s="223"/>
      <c r="T9" s="223"/>
      <c r="U9" s="223"/>
      <c r="V9" s="223"/>
    </row>
    <row r="10" spans="2:22">
      <c r="C10" s="218" t="s">
        <v>133</v>
      </c>
      <c r="D10" s="444">
        <f>SUM(D9:D9)</f>
        <v>100</v>
      </c>
      <c r="I10" s="226"/>
      <c r="S10" s="223"/>
      <c r="T10" s="223"/>
      <c r="U10" s="223"/>
      <c r="V10" s="223"/>
    </row>
    <row r="11" spans="2:22" ht="10.5" customHeight="1">
      <c r="D11"/>
      <c r="I11" s="226"/>
      <c r="S11" s="223"/>
      <c r="T11" s="223"/>
      <c r="U11" s="223"/>
      <c r="V11" s="223"/>
    </row>
    <row r="12" spans="2:22" ht="44.25" customHeight="1">
      <c r="C12" s="707" t="s">
        <v>404</v>
      </c>
      <c r="D12" s="707"/>
      <c r="E12" s="707"/>
      <c r="I12" s="226"/>
      <c r="S12" s="223"/>
      <c r="T12" s="223"/>
      <c r="U12" s="223"/>
      <c r="V12" s="223"/>
    </row>
    <row r="13" spans="2:22" s="60" customFormat="1" ht="27.75" customHeight="1">
      <c r="C13" s="628" t="s">
        <v>406</v>
      </c>
      <c r="I13" s="227"/>
      <c r="L13" s="629"/>
      <c r="M13" s="629"/>
      <c r="N13" s="629"/>
      <c r="O13" s="629"/>
      <c r="P13" s="629"/>
      <c r="Q13" s="629"/>
      <c r="R13" s="629"/>
    </row>
    <row r="14" spans="2:22" customFormat="1">
      <c r="C14" s="220" t="s">
        <v>399</v>
      </c>
      <c r="D14" s="68" t="s">
        <v>134</v>
      </c>
      <c r="E14" s="68" t="s">
        <v>135</v>
      </c>
      <c r="H14" s="68"/>
    </row>
    <row r="15" spans="2:22">
      <c r="C15" s="218" t="s">
        <v>143</v>
      </c>
      <c r="D15" s="122"/>
      <c r="E15" s="124">
        <v>240000</v>
      </c>
      <c r="F15" s="719">
        <f>ROUNDUP((D10/100),0)</f>
        <v>1</v>
      </c>
      <c r="G15" s="720"/>
      <c r="H15" s="720"/>
      <c r="I15" s="720"/>
      <c r="J15" s="60"/>
      <c r="K15" s="60"/>
    </row>
    <row r="16" spans="2:22" ht="30.75" customHeight="1">
      <c r="C16" s="449" t="s">
        <v>144</v>
      </c>
      <c r="D16" s="618"/>
      <c r="E16" s="7">
        <v>70000</v>
      </c>
      <c r="F16" s="727">
        <f>ROUNDUP((D10/100),0)</f>
        <v>1</v>
      </c>
      <c r="G16" s="728"/>
      <c r="H16" s="728"/>
      <c r="I16" s="728"/>
    </row>
    <row r="17" spans="2:11">
      <c r="C17" s="218" t="s">
        <v>366</v>
      </c>
      <c r="D17" s="92"/>
      <c r="E17" s="7">
        <v>55000</v>
      </c>
      <c r="F17" s="723">
        <f>ROUNDUP((D10/100),0)</f>
        <v>1</v>
      </c>
      <c r="G17" s="724"/>
      <c r="H17" s="724"/>
      <c r="I17" s="724"/>
    </row>
    <row r="18" spans="2:11">
      <c r="C18" s="218" t="s">
        <v>136</v>
      </c>
      <c r="D18" s="92"/>
      <c r="E18" s="7">
        <v>80000</v>
      </c>
      <c r="F18" s="725">
        <f>ROUNDUP(($D$10/50),0)</f>
        <v>2</v>
      </c>
      <c r="G18" s="726"/>
      <c r="H18" s="726"/>
      <c r="I18" s="726"/>
    </row>
    <row r="19" spans="2:11">
      <c r="C19" s="218" t="s">
        <v>137</v>
      </c>
      <c r="D19" s="92"/>
      <c r="E19" s="7">
        <v>50000</v>
      </c>
      <c r="F19" s="735">
        <f>ROUNDUP(($D$10/50),0)</f>
        <v>2</v>
      </c>
      <c r="G19" s="736"/>
      <c r="H19" s="736"/>
      <c r="I19" s="736"/>
    </row>
    <row r="20" spans="2:11">
      <c r="C20" s="218" t="s">
        <v>138</v>
      </c>
      <c r="D20" s="92"/>
      <c r="E20" s="7">
        <v>40000</v>
      </c>
      <c r="F20" s="737">
        <f>ROUNDUP((D10/100),0)</f>
        <v>1</v>
      </c>
      <c r="G20" s="738"/>
      <c r="H20" s="738"/>
      <c r="I20" s="738"/>
    </row>
    <row r="21" spans="2:11" ht="15.75" customHeight="1">
      <c r="C21" s="218" t="s">
        <v>139</v>
      </c>
      <c r="D21" s="92"/>
      <c r="E21" s="7">
        <v>50000</v>
      </c>
      <c r="F21" s="739">
        <f>ROUNDUP((D10/50),0)</f>
        <v>2</v>
      </c>
      <c r="G21" s="740"/>
      <c r="H21" s="740"/>
      <c r="I21" s="740"/>
      <c r="J21" s="572"/>
    </row>
    <row r="22" spans="2:11" ht="15.75" customHeight="1">
      <c r="C22" s="218" t="s">
        <v>173</v>
      </c>
      <c r="D22" s="92"/>
      <c r="E22" s="124">
        <v>45000</v>
      </c>
      <c r="F22" s="741">
        <f>ROUNDUP((D10/100),9)</f>
        <v>1</v>
      </c>
      <c r="G22" s="742"/>
      <c r="H22" s="742"/>
      <c r="I22" s="742"/>
      <c r="J22" s="572"/>
    </row>
    <row r="23" spans="2:11">
      <c r="C23" s="445" t="s">
        <v>140</v>
      </c>
      <c r="D23" s="446">
        <f>SUM(D15:D22)</f>
        <v>0</v>
      </c>
      <c r="E23" s="228"/>
      <c r="F23" s="576"/>
      <c r="G23" s="576"/>
      <c r="H23"/>
      <c r="I23" s="577"/>
    </row>
    <row r="24" spans="2:11" ht="5.25" customHeight="1">
      <c r="F24" s="542"/>
      <c r="G24" s="542"/>
      <c r="H24"/>
      <c r="I24" s="298"/>
    </row>
    <row r="25" spans="2:11">
      <c r="C25" s="442" t="s">
        <v>377</v>
      </c>
      <c r="F25" s="557"/>
      <c r="G25" s="557"/>
      <c r="H25"/>
      <c r="I25" s="298"/>
    </row>
    <row r="26" spans="2:11">
      <c r="C26" s="218" t="s">
        <v>141</v>
      </c>
      <c r="D26" s="92"/>
      <c r="E26" s="7">
        <v>85000</v>
      </c>
      <c r="F26" s="578"/>
      <c r="G26" s="575"/>
      <c r="H26"/>
      <c r="I26" s="575"/>
      <c r="J26" s="447"/>
      <c r="K26" s="447"/>
    </row>
    <row r="27" spans="2:11">
      <c r="C27" s="218" t="s">
        <v>142</v>
      </c>
      <c r="D27" s="92"/>
      <c r="E27" s="7">
        <v>40000</v>
      </c>
      <c r="F27" s="579"/>
      <c r="G27" s="580"/>
      <c r="H27"/>
      <c r="I27" s="580"/>
      <c r="J27" s="448"/>
      <c r="K27" s="448"/>
    </row>
    <row r="28" spans="2:11">
      <c r="C28" s="450" t="s">
        <v>145</v>
      </c>
      <c r="D28" s="451">
        <f>D23+SUM(D26:D27)</f>
        <v>0</v>
      </c>
      <c r="E28"/>
      <c r="F28" s="573"/>
      <c r="G28" s="573"/>
      <c r="H28" s="447"/>
      <c r="I28" s="227"/>
    </row>
    <row r="29" spans="2:11" ht="16.5" thickBot="1">
      <c r="D29" s="229"/>
      <c r="E29" s="229"/>
      <c r="F29" s="228"/>
      <c r="G29" s="228"/>
      <c r="H29" s="229"/>
      <c r="I29" s="227"/>
      <c r="J29"/>
      <c r="K29"/>
    </row>
    <row r="30" spans="2:11">
      <c r="B30" s="230"/>
      <c r="C30" s="231" t="s">
        <v>400</v>
      </c>
      <c r="D30" s="232"/>
      <c r="E30" s="232"/>
      <c r="F30" s="233"/>
      <c r="G30" s="233"/>
      <c r="H30" s="232"/>
      <c r="I30" s="234"/>
      <c r="J30"/>
      <c r="K30"/>
    </row>
    <row r="31" spans="2:11" ht="15.75" customHeight="1">
      <c r="B31" s="235"/>
      <c r="C31" s="732" t="s">
        <v>353</v>
      </c>
      <c r="D31" s="732"/>
      <c r="E31" s="221"/>
      <c r="F31"/>
      <c r="G31"/>
      <c r="H31" s="221"/>
      <c r="I31" s="236"/>
      <c r="J31"/>
      <c r="K31"/>
    </row>
    <row r="32" spans="2:11">
      <c r="B32" s="235"/>
      <c r="C32" s="237" t="s">
        <v>146</v>
      </c>
      <c r="D32" s="9">
        <v>40</v>
      </c>
      <c r="E32" s="238"/>
      <c r="F32"/>
      <c r="G32"/>
      <c r="H32" s="239"/>
      <c r="I32" s="240"/>
      <c r="J32"/>
      <c r="K32"/>
    </row>
    <row r="33" spans="2:11">
      <c r="B33" s="235"/>
      <c r="C33" s="237" t="s">
        <v>147</v>
      </c>
      <c r="D33" s="9">
        <v>10</v>
      </c>
      <c r="E33" s="631" t="s">
        <v>148</v>
      </c>
      <c r="F33" s="564"/>
      <c r="G33" s="564"/>
      <c r="H33" s="632"/>
      <c r="I33" s="633"/>
      <c r="J33"/>
      <c r="K33"/>
    </row>
    <row r="34" spans="2:11">
      <c r="B34" s="235"/>
      <c r="C34" s="241" t="s">
        <v>149</v>
      </c>
      <c r="D34" s="9">
        <v>20</v>
      </c>
      <c r="E34" s="631" t="s">
        <v>150</v>
      </c>
      <c r="F34" s="564"/>
      <c r="G34" s="564"/>
      <c r="H34" s="632"/>
      <c r="I34" s="633"/>
      <c r="J34"/>
      <c r="K34"/>
    </row>
    <row r="35" spans="2:11">
      <c r="B35" s="235"/>
      <c r="C35" s="241" t="s">
        <v>151</v>
      </c>
      <c r="D35" s="9">
        <v>3</v>
      </c>
      <c r="E35" s="631" t="s">
        <v>152</v>
      </c>
      <c r="F35" s="564"/>
      <c r="G35" s="564"/>
      <c r="H35" s="632"/>
      <c r="I35" s="633"/>
      <c r="J35"/>
      <c r="K35"/>
    </row>
    <row r="36" spans="2:11">
      <c r="B36" s="235"/>
      <c r="C36" s="241" t="s">
        <v>153</v>
      </c>
      <c r="D36" s="166">
        <v>1</v>
      </c>
      <c r="E36" s="631" t="s">
        <v>154</v>
      </c>
      <c r="F36" s="564"/>
      <c r="G36" s="564"/>
      <c r="H36" s="632"/>
      <c r="I36" s="633"/>
      <c r="J36"/>
      <c r="K36"/>
    </row>
    <row r="37" spans="2:11">
      <c r="B37" s="235"/>
      <c r="C37" s="241" t="s">
        <v>158</v>
      </c>
      <c r="D37" s="10">
        <v>0.75</v>
      </c>
      <c r="E37" s="631" t="s">
        <v>355</v>
      </c>
      <c r="F37" s="564"/>
      <c r="G37" s="564"/>
      <c r="H37" s="632"/>
      <c r="I37" s="633"/>
      <c r="J37"/>
      <c r="K37"/>
    </row>
    <row r="38" spans="2:11">
      <c r="B38" s="235"/>
      <c r="C38" s="241" t="s">
        <v>159</v>
      </c>
      <c r="D38" s="166">
        <f>ROUNDUP((D32*D37)/5,1)</f>
        <v>6</v>
      </c>
      <c r="E38" s="716">
        <f>ROUNDUP((D32*D37)/5,1)</f>
        <v>6</v>
      </c>
      <c r="F38" s="717"/>
      <c r="G38" s="717"/>
      <c r="H38" s="717"/>
      <c r="I38" s="718"/>
      <c r="J38"/>
      <c r="K38"/>
    </row>
    <row r="39" spans="2:11">
      <c r="B39" s="235"/>
      <c r="C39" s="241" t="str">
        <f>IF(OR(D42="15-minute increments",D42="Per diem"),"Annual UOS per FTE",IF(D42="Per member per month","Annual UOS per Client",""))</f>
        <v/>
      </c>
      <c r="D39" s="242" t="str">
        <f>IF(D42="15-minute increments",(((52*5)-SUM(D33:D36))/5)*D32*D37*4,IF(D42="Per diem",(((52*5)-SUM(D33:D36))*D38),IF(D42="Per member per month",12,"")))</f>
        <v/>
      </c>
      <c r="E39" s="175"/>
      <c r="F39"/>
      <c r="G39"/>
      <c r="H39" s="175"/>
      <c r="I39" s="243"/>
      <c r="J39"/>
      <c r="K39"/>
    </row>
    <row r="40" spans="2:11">
      <c r="B40" s="235"/>
      <c r="C40" s="244"/>
      <c r="D40"/>
      <c r="E40" s="245"/>
      <c r="F40"/>
      <c r="G40"/>
      <c r="H40" s="245"/>
      <c r="I40" s="240"/>
      <c r="J40"/>
      <c r="K40"/>
    </row>
    <row r="41" spans="2:11" ht="15.75" customHeight="1">
      <c r="B41" s="235"/>
      <c r="C41" s="732" t="s">
        <v>342</v>
      </c>
      <c r="D41" s="732"/>
      <c r="E41" s="245"/>
      <c r="F41"/>
      <c r="G41"/>
      <c r="H41" s="245"/>
      <c r="I41" s="240"/>
      <c r="J41"/>
      <c r="K41"/>
    </row>
    <row r="42" spans="2:11">
      <c r="B42" s="235"/>
      <c r="C42" s="241" t="s">
        <v>155</v>
      </c>
      <c r="D42" s="574" t="s">
        <v>180</v>
      </c>
      <c r="E42" s="246"/>
      <c r="F42"/>
      <c r="G42"/>
      <c r="H42" s="247"/>
      <c r="I42" s="240"/>
      <c r="J42"/>
      <c r="K42"/>
    </row>
    <row r="43" spans="2:11">
      <c r="B43" s="235"/>
      <c r="C43" s="241" t="s">
        <v>367</v>
      </c>
      <c r="D43" s="594">
        <v>0</v>
      </c>
      <c r="E43" s="729" t="str">
        <f>IF(AND(OR(D10=0,D10=""),OR(D42="Select",D42="")),"",IF(AND(OR(D42="15-minute increments",D42="Per diem",D42="Per member per month"),OR(D10=0,D10=""),OR(D23&gt;0)),"Please fill in your target populations above in section 1", IF(AND(OR(D42="15-minute increments",D42="Per diem",D42="Per member per month"),OR(D23="",D23=0),D10&gt;0),"Please fill in your billing staff above in section 2a",IF(AND(OR(D42="15-minute increments",D42="Per diem",D42="Per member per month"),OR(D10="",D10=0),OR(D23=0,D23="")),"Please fill in your target populations and billing staff above in sections 1 and 2a",IF(D42="15-minute increments",((F87)/D23/D39)*D43,IF(D42="Per diem",((F87)/D23/D39)*D43,IF(D42="Per member per month",((F87)/D10/D39)*D43,"")))))))</f>
        <v/>
      </c>
      <c r="F43" s="730"/>
      <c r="G43" s="730"/>
      <c r="H43" s="730"/>
      <c r="I43" s="731"/>
      <c r="J43"/>
      <c r="K43"/>
    </row>
    <row r="44" spans="2:11" ht="17.25" customHeight="1">
      <c r="B44" s="235"/>
      <c r="C44" s="241" t="s">
        <v>157</v>
      </c>
      <c r="D44" s="617">
        <v>0</v>
      </c>
      <c r="I44" s="602"/>
      <c r="J44"/>
      <c r="K44"/>
    </row>
    <row r="45" spans="2:11" ht="6.75" customHeight="1" thickBot="1">
      <c r="B45" s="248"/>
      <c r="C45" s="249"/>
      <c r="D45" s="250"/>
      <c r="E45" s="251"/>
      <c r="F45" s="252"/>
      <c r="G45" s="252"/>
      <c r="H45" s="251"/>
      <c r="I45" s="253"/>
      <c r="J45"/>
      <c r="K45"/>
    </row>
    <row r="46" spans="2:11">
      <c r="C46" s="244"/>
      <c r="D46" s="226"/>
      <c r="E46" s="226"/>
      <c r="F46" s="254"/>
      <c r="G46" s="254"/>
      <c r="H46" s="226"/>
      <c r="J46"/>
      <c r="K46"/>
    </row>
    <row r="47" spans="2:11" ht="29.25" customHeight="1">
      <c r="C47" s="63" t="s">
        <v>356</v>
      </c>
      <c r="D47" s="255"/>
      <c r="E47" s="255"/>
      <c r="H47" s="255"/>
      <c r="J47"/>
      <c r="K47"/>
    </row>
    <row r="48" spans="2:11" ht="8.25" customHeight="1" thickBot="1">
      <c r="I48" s="19"/>
    </row>
    <row r="49" spans="3:12" ht="16.5" thickBot="1">
      <c r="C49" s="670" t="s">
        <v>361</v>
      </c>
      <c r="D49" s="671"/>
      <c r="E49" s="671"/>
      <c r="F49" s="671"/>
      <c r="G49" s="672"/>
      <c r="H49"/>
      <c r="I49" s="670" t="s">
        <v>350</v>
      </c>
      <c r="J49" s="671"/>
      <c r="K49" s="671"/>
      <c r="L49" s="672"/>
    </row>
    <row r="50" spans="3:12" ht="31.5">
      <c r="C50" s="452"/>
      <c r="D50" s="453" t="s">
        <v>357</v>
      </c>
      <c r="E50" s="454" t="s">
        <v>354</v>
      </c>
      <c r="F50" s="455" t="s">
        <v>362</v>
      </c>
      <c r="G50" s="456" t="s">
        <v>364</v>
      </c>
      <c r="H50"/>
      <c r="I50" s="457" t="s">
        <v>160</v>
      </c>
      <c r="J50" s="458" t="s">
        <v>161</v>
      </c>
      <c r="K50" s="458" t="s">
        <v>162</v>
      </c>
      <c r="L50" s="459" t="s">
        <v>344</v>
      </c>
    </row>
    <row r="51" spans="3:12" ht="16.5" thickBot="1">
      <c r="C51" s="256" t="s">
        <v>42</v>
      </c>
      <c r="D51" s="257"/>
      <c r="E51" s="325"/>
      <c r="F51" s="257"/>
      <c r="G51" s="259"/>
      <c r="H51"/>
      <c r="I51" s="260"/>
      <c r="J51" s="257"/>
      <c r="K51" s="257"/>
      <c r="L51" s="259"/>
    </row>
    <row r="52" spans="3:12" ht="16.5" thickTop="1">
      <c r="C52" s="119" t="s">
        <v>49</v>
      </c>
      <c r="D52" s="261">
        <f>SUMPRODUCT(D15:D22,E15:E22)+SUMPRODUCT(D26:D27,E26:E27)</f>
        <v>0</v>
      </c>
      <c r="E52" s="460">
        <f>IF(OR('9. Medicaid Admin Costs'!$F$5="Apply to ACT Tab 4",'9. Medicaid Admin Costs'!$F$5="Apply to All"),(SUMIF('9. Medicaid Admin Costs'!$D$12:$D$14,"Ongoing - Annually",'9. Medicaid Admin Costs'!$I$12:$I$14)+SUMIF('9. Medicaid Admin Costs'!$D$12:$D$14,"Ongoing - Monthly",'9. Medicaid Admin Costs'!$I$12:$I$14)+SUMIF('9. Medicaid Admin Costs'!$D$12:$D$14,"Ongoing - Quarterly",'9. Medicaid Admin Costs'!$I$12:$I$14)),0)</f>
        <v>40000</v>
      </c>
      <c r="F52" s="261">
        <f t="shared" ref="F52:F57" si="0">D52+E52</f>
        <v>40000</v>
      </c>
      <c r="G52" s="190"/>
      <c r="H52"/>
      <c r="I52" s="461">
        <f>F52</f>
        <v>40000</v>
      </c>
      <c r="J52" s="174">
        <f>F52*(1+$J$100)</f>
        <v>43000</v>
      </c>
      <c r="K52" s="174">
        <f>J52*(1+$J$100)</f>
        <v>46225</v>
      </c>
      <c r="L52" s="462">
        <f>I52+J52+K52</f>
        <v>129225</v>
      </c>
    </row>
    <row r="53" spans="3:12">
      <c r="C53" s="94" t="s">
        <v>50</v>
      </c>
      <c r="D53" s="262">
        <f>D52*'3. Basic Input &amp; Assumptions'!K20</f>
        <v>0</v>
      </c>
      <c r="E53" s="205">
        <f>E52*'3. Basic Input &amp; Assumptions'!$K$20</f>
        <v>12800</v>
      </c>
      <c r="F53" s="261">
        <f t="shared" si="0"/>
        <v>12800</v>
      </c>
      <c r="G53" s="114"/>
      <c r="H53"/>
      <c r="I53" s="461">
        <f>F53</f>
        <v>12800</v>
      </c>
      <c r="J53" s="270">
        <f>J52*'3. Basic Input &amp; Assumptions'!$K$20</f>
        <v>13760</v>
      </c>
      <c r="K53" s="270">
        <f>(K52*'3. Basic Input &amp; Assumptions'!$K$20)</f>
        <v>14792</v>
      </c>
      <c r="L53" s="463">
        <f t="shared" ref="L53:L96" si="1">I53+J53+K53</f>
        <v>41352</v>
      </c>
    </row>
    <row r="54" spans="3:12">
      <c r="C54" s="94" t="s">
        <v>51</v>
      </c>
      <c r="D54" s="43">
        <v>0</v>
      </c>
      <c r="E54" s="205">
        <f>IF(OR('9. Medicaid Admin Costs'!$F$5="Apply to ACT Tab 4",'9. Medicaid Admin Costs'!$F$5="Apply to All"),(SUMIF('9. Medicaid Admin Costs'!$D$16:$D$17,"Ongoing - Annually",'9. Medicaid Admin Costs'!$I$16:$I$17)+SUMIF('9. Medicaid Admin Costs'!$D$16:$D$17,"Ongoing - Monthly",'9. Medicaid Admin Costs'!$I$16:$I$17)+SUMIF('9. Medicaid Admin Costs'!$D$16:$D$17,"Ongoing - Quarterly",'9. Medicaid Admin Costs'!$I$16:$I$17)),0)</f>
        <v>0</v>
      </c>
      <c r="F54" s="261">
        <f t="shared" si="0"/>
        <v>0</v>
      </c>
      <c r="G54" s="116">
        <f ca="1">IF(OR('9. Medicaid Admin Costs'!$F$5="Apply to ACT Tab 4",'9. Medicaid Admin Costs'!$F$5="Apply to All"),SUMIF('9. Medicaid Admin Costs'!$D$16:DI$17,"Start Up",'9. Medicaid Admin Costs'!$I$16:$I$17),0)</f>
        <v>0</v>
      </c>
      <c r="H54"/>
      <c r="I54" s="461">
        <f>F54</f>
        <v>0</v>
      </c>
      <c r="J54" s="270">
        <f t="shared" ref="J54:K56" si="2">I54*(1+$J$100)</f>
        <v>0</v>
      </c>
      <c r="K54" s="270">
        <f t="shared" si="2"/>
        <v>0</v>
      </c>
      <c r="L54" s="463">
        <f t="shared" si="1"/>
        <v>0</v>
      </c>
    </row>
    <row r="55" spans="3:12">
      <c r="C55" s="94" t="s">
        <v>52</v>
      </c>
      <c r="D55" s="43">
        <v>0</v>
      </c>
      <c r="E55" s="205">
        <f>IF(OR('9. Medicaid Admin Costs'!$F$5="Apply to ACT Tab 4",'9. Medicaid Admin Costs'!$F$5="Apply to All"),(SUMIF('9. Medicaid Admin Costs'!$D$19,"Ongoing - Annually",'9. Medicaid Admin Costs'!$I$19)+SUMIF('9. Medicaid Admin Costs'!$D$19,"Ongoing - Monthly",'9. Medicaid Admin Costs'!$I$19)+SUMIF('9. Medicaid Admin Costs'!$D$19,"Ongoing - Quarterly",'9. Medicaid Admin Costs'!$I$19)),0)</f>
        <v>0</v>
      </c>
      <c r="F55" s="261">
        <f t="shared" si="0"/>
        <v>0</v>
      </c>
      <c r="G55" s="116">
        <f>SUM('8. General Startup Costs'!$F$10:$F$15)+(IF(OR('9. Medicaid Admin Costs'!$F$5="Apply to ACT Tab 4",'9. Medicaid Admin Costs'!$F$5="Apply to All"),SUMIF('9. Medicaid Admin Costs'!$D$19,"Start Up",'9. Medicaid Admin Costs'!$I$19),0))</f>
        <v>0</v>
      </c>
      <c r="H55"/>
      <c r="I55" s="461">
        <f>D55+E55+G55</f>
        <v>0</v>
      </c>
      <c r="J55" s="270">
        <f t="shared" si="2"/>
        <v>0</v>
      </c>
      <c r="K55" s="270">
        <f t="shared" si="2"/>
        <v>0</v>
      </c>
      <c r="L55" s="463">
        <f t="shared" si="1"/>
        <v>0</v>
      </c>
    </row>
    <row r="56" spans="3:12">
      <c r="C56" s="96" t="s">
        <v>53</v>
      </c>
      <c r="D56" s="622">
        <v>0</v>
      </c>
      <c r="E56" s="464">
        <f>IF(OR('9. Medicaid Admin Costs'!$F$5="Apply to ACT Tab 4",'9. Medicaid Admin Costs'!$F$5="Apply to All"),(SUMIF('9. Medicaid Admin Costs'!$D$21:$D$22,"Ongoing - Annually",'9. Medicaid Admin Costs'!$I$21:$I$22)+SUMIF('9. Medicaid Admin Costs'!$D$21:$D$22,"Ongoing - Monthly",'9. Medicaid Admin Costs'!$I$21:$I$22)+SUMIF('9. Medicaid Admin Costs'!$D$21:$D$22,"Ongoing - Quarterly",'9. Medicaid Admin Costs'!$I$21:$I$22)),0)</f>
        <v>0</v>
      </c>
      <c r="F56" s="261">
        <f t="shared" si="0"/>
        <v>0</v>
      </c>
      <c r="G56" s="186">
        <f>SUM('8. General Startup Costs'!$F$17:$F$20)+(IF(OR('9. Medicaid Admin Costs'!$F$5="Apply to ACT Tab 4",'9. Medicaid Admin Costs'!$F$5="Apply to All"),SUMIF('9. Medicaid Admin Costs'!$D$21:$D$22,"Start Up",'9. Medicaid Admin Costs'!$I$21:$I$22),0))</f>
        <v>0</v>
      </c>
      <c r="H56"/>
      <c r="I56" s="461">
        <f>F56+G56</f>
        <v>0</v>
      </c>
      <c r="J56" s="270">
        <f t="shared" si="2"/>
        <v>0</v>
      </c>
      <c r="K56" s="270">
        <f t="shared" si="2"/>
        <v>0</v>
      </c>
      <c r="L56" s="463">
        <f t="shared" si="1"/>
        <v>0</v>
      </c>
    </row>
    <row r="57" spans="3:12">
      <c r="C57" s="98" t="s">
        <v>54</v>
      </c>
      <c r="D57" s="261">
        <f>SUM(D52:D56)</f>
        <v>0</v>
      </c>
      <c r="E57" s="206">
        <f>SUM(E52:E56)</f>
        <v>52800</v>
      </c>
      <c r="F57" s="465">
        <f t="shared" si="0"/>
        <v>52800</v>
      </c>
      <c r="G57" s="113">
        <f ca="1">SUM(G52:G56)</f>
        <v>0</v>
      </c>
      <c r="H57"/>
      <c r="I57" s="466">
        <f>SUM(I52:I56)</f>
        <v>52800</v>
      </c>
      <c r="J57" s="465">
        <f>SUM(J52:J56)</f>
        <v>56760</v>
      </c>
      <c r="K57" s="465">
        <f>SUM(K52:K56)</f>
        <v>61017</v>
      </c>
      <c r="L57" s="113">
        <f t="shared" si="1"/>
        <v>170577</v>
      </c>
    </row>
    <row r="58" spans="3:12">
      <c r="C58" s="100"/>
      <c r="D58" s="263"/>
      <c r="E58" s="467"/>
      <c r="F58" s="263"/>
      <c r="G58" s="114"/>
      <c r="H58"/>
      <c r="I58" s="468"/>
      <c r="J58" s="263"/>
      <c r="K58" s="263"/>
      <c r="L58" s="114"/>
    </row>
    <row r="59" spans="3:12" ht="16.5" thickBot="1">
      <c r="C59" s="120" t="s">
        <v>55</v>
      </c>
      <c r="D59" s="264"/>
      <c r="E59" s="469"/>
      <c r="F59" s="264"/>
      <c r="G59" s="118"/>
      <c r="H59"/>
      <c r="I59" s="470"/>
      <c r="J59" s="264"/>
      <c r="K59" s="264"/>
      <c r="L59" s="118"/>
    </row>
    <row r="60" spans="3:12" ht="16.5" thickTop="1">
      <c r="C60" s="119" t="s">
        <v>56</v>
      </c>
      <c r="D60" s="204">
        <v>0</v>
      </c>
      <c r="E60" s="207"/>
      <c r="F60" s="471">
        <f>D60+E60</f>
        <v>0</v>
      </c>
      <c r="G60" s="115">
        <f>'8. General Startup Costs'!$F$24</f>
        <v>0</v>
      </c>
      <c r="H60"/>
      <c r="I60" s="472">
        <f>F60+G60</f>
        <v>0</v>
      </c>
      <c r="J60" s="174">
        <f>I60*(1+$J$100)</f>
        <v>0</v>
      </c>
      <c r="K60" s="174">
        <f>J60*(1+$J$100)</f>
        <v>0</v>
      </c>
      <c r="L60" s="462">
        <f t="shared" si="1"/>
        <v>0</v>
      </c>
    </row>
    <row r="61" spans="3:12">
      <c r="C61" s="94" t="s">
        <v>57</v>
      </c>
      <c r="D61" s="43">
        <v>0</v>
      </c>
      <c r="E61" s="467"/>
      <c r="F61" s="471">
        <f>D61+E61</f>
        <v>0</v>
      </c>
      <c r="G61" s="116">
        <f>'8. General Startup Costs'!$F$25</f>
        <v>0</v>
      </c>
      <c r="H61"/>
      <c r="I61" s="472">
        <f t="shared" ref="I61:I67" si="3">F61+G61</f>
        <v>0</v>
      </c>
      <c r="J61" s="174">
        <f t="shared" ref="J61:J67" si="4">I61*(1+$J$100)</f>
        <v>0</v>
      </c>
      <c r="K61" s="270">
        <f t="shared" ref="K61:K68" si="5">J61*(1+$J$100)</f>
        <v>0</v>
      </c>
      <c r="L61" s="463">
        <f t="shared" si="1"/>
        <v>0</v>
      </c>
    </row>
    <row r="62" spans="3:12">
      <c r="C62" s="94" t="s">
        <v>58</v>
      </c>
      <c r="D62" s="43">
        <v>0</v>
      </c>
      <c r="E62" s="467"/>
      <c r="F62" s="471">
        <f t="shared" ref="F62:F66" si="6">D62+E62</f>
        <v>0</v>
      </c>
      <c r="G62" s="116">
        <f>'8. General Startup Costs'!$F$26</f>
        <v>0</v>
      </c>
      <c r="H62"/>
      <c r="I62" s="472">
        <f t="shared" si="3"/>
        <v>0</v>
      </c>
      <c r="J62" s="174">
        <f t="shared" si="4"/>
        <v>0</v>
      </c>
      <c r="K62" s="270">
        <f t="shared" si="5"/>
        <v>0</v>
      </c>
      <c r="L62" s="463">
        <f t="shared" si="1"/>
        <v>0</v>
      </c>
    </row>
    <row r="63" spans="3:12">
      <c r="C63" s="94" t="s">
        <v>59</v>
      </c>
      <c r="D63" s="43">
        <v>0</v>
      </c>
      <c r="E63" s="467"/>
      <c r="F63" s="471">
        <f t="shared" si="6"/>
        <v>0</v>
      </c>
      <c r="G63" s="114"/>
      <c r="H63"/>
      <c r="I63" s="472">
        <f t="shared" si="3"/>
        <v>0</v>
      </c>
      <c r="J63" s="174">
        <f t="shared" si="4"/>
        <v>0</v>
      </c>
      <c r="K63" s="270">
        <f t="shared" si="5"/>
        <v>0</v>
      </c>
      <c r="L63" s="463">
        <f t="shared" si="1"/>
        <v>0</v>
      </c>
    </row>
    <row r="64" spans="3:12" ht="31.5" customHeight="1">
      <c r="C64" s="94" t="s">
        <v>60</v>
      </c>
      <c r="D64" s="43">
        <v>0</v>
      </c>
      <c r="E64" s="467"/>
      <c r="F64" s="471">
        <f t="shared" si="6"/>
        <v>0</v>
      </c>
      <c r="G64" s="116">
        <f>'8. General Startup Costs'!$F$27</f>
        <v>0</v>
      </c>
      <c r="H64"/>
      <c r="I64" s="472">
        <f t="shared" si="3"/>
        <v>0</v>
      </c>
      <c r="J64" s="174">
        <f t="shared" si="4"/>
        <v>0</v>
      </c>
      <c r="K64" s="270">
        <f t="shared" si="5"/>
        <v>0</v>
      </c>
      <c r="L64" s="463">
        <f t="shared" si="1"/>
        <v>0</v>
      </c>
    </row>
    <row r="65" spans="3:12">
      <c r="C65" s="94" t="s">
        <v>61</v>
      </c>
      <c r="D65" s="43">
        <v>0</v>
      </c>
      <c r="E65" s="467"/>
      <c r="F65" s="471">
        <f t="shared" si="6"/>
        <v>0</v>
      </c>
      <c r="G65" s="116">
        <f>'8. General Startup Costs'!$F$28</f>
        <v>0</v>
      </c>
      <c r="H65"/>
      <c r="I65" s="472">
        <f t="shared" si="3"/>
        <v>0</v>
      </c>
      <c r="J65" s="174">
        <f t="shared" si="4"/>
        <v>0</v>
      </c>
      <c r="K65" s="270">
        <f t="shared" si="5"/>
        <v>0</v>
      </c>
      <c r="L65" s="463">
        <f t="shared" si="1"/>
        <v>0</v>
      </c>
    </row>
    <row r="66" spans="3:12">
      <c r="C66" s="94" t="s">
        <v>62</v>
      </c>
      <c r="D66" s="43">
        <v>0</v>
      </c>
      <c r="E66" s="205">
        <f>IF(OR('9. Medicaid Admin Costs'!$F$5="Apply to ACT Tab 4",'9. Medicaid Admin Costs'!$F$5="Apply to All"),(SUMIF('9. Medicaid Admin Costs'!$D$28,"Ongoing - Annually",'9. Medicaid Admin Costs'!$I$28)+SUMIF('9. Medicaid Admin Costs'!$D$28,"Ongoing - Monthly",'9. Medicaid Admin Costs'!$I$28)+SUMIF('9. Medicaid Admin Costs'!$D$28,"Ongoing - Quarterly",'9. Medicaid Admin Costs'!$I$28)),0)</f>
        <v>0</v>
      </c>
      <c r="F66" s="471">
        <f t="shared" si="6"/>
        <v>0</v>
      </c>
      <c r="G66" s="114"/>
      <c r="H66"/>
      <c r="I66" s="472">
        <f t="shared" si="3"/>
        <v>0</v>
      </c>
      <c r="J66" s="174">
        <f t="shared" si="4"/>
        <v>0</v>
      </c>
      <c r="K66" s="270">
        <f t="shared" si="5"/>
        <v>0</v>
      </c>
      <c r="L66" s="463">
        <f t="shared" si="1"/>
        <v>0</v>
      </c>
    </row>
    <row r="67" spans="3:12">
      <c r="C67" s="103" t="s">
        <v>63</v>
      </c>
      <c r="D67" s="265">
        <f>D68*D69*D70*((52*5)-SUM(D33:D36))</f>
        <v>0</v>
      </c>
      <c r="E67" s="467"/>
      <c r="F67" s="471">
        <f>D67</f>
        <v>0</v>
      </c>
      <c r="G67" s="114"/>
      <c r="H67"/>
      <c r="I67" s="472">
        <f t="shared" si="3"/>
        <v>0</v>
      </c>
      <c r="J67" s="174">
        <f t="shared" si="4"/>
        <v>0</v>
      </c>
      <c r="K67" s="270">
        <f t="shared" si="5"/>
        <v>0</v>
      </c>
      <c r="L67" s="463">
        <f t="shared" si="1"/>
        <v>0</v>
      </c>
    </row>
    <row r="68" spans="3:12">
      <c r="C68" s="104" t="s">
        <v>64</v>
      </c>
      <c r="D68" s="303">
        <f>'3. Basic Input &amp; Assumptions'!K18</f>
        <v>0.67</v>
      </c>
      <c r="E68" s="473"/>
      <c r="F68" s="474">
        <f>D68</f>
        <v>0.67</v>
      </c>
      <c r="G68" s="475"/>
      <c r="H68" s="301"/>
      <c r="I68" s="476">
        <f>F68</f>
        <v>0.67</v>
      </c>
      <c r="J68" s="326">
        <f>I68*(1+$J$100)</f>
        <v>0.72025000000000006</v>
      </c>
      <c r="K68" s="304">
        <f t="shared" si="5"/>
        <v>0.77426875000000006</v>
      </c>
      <c r="L68" s="477">
        <f t="shared" si="1"/>
        <v>2.16451875</v>
      </c>
    </row>
    <row r="69" spans="3:12" ht="19.5" customHeight="1">
      <c r="C69" s="105" t="s">
        <v>65</v>
      </c>
      <c r="D69" s="305">
        <f>'3. Basic Input &amp; Assumptions'!K16+'3. Basic Input &amp; Assumptions'!K17</f>
        <v>25</v>
      </c>
      <c r="E69" s="478"/>
      <c r="F69" s="479">
        <f>D69</f>
        <v>25</v>
      </c>
      <c r="G69" s="480"/>
      <c r="H69" s="301"/>
      <c r="I69" s="481">
        <f t="shared" ref="I69:I70" si="7">F69</f>
        <v>25</v>
      </c>
      <c r="J69" s="307">
        <f>D69</f>
        <v>25</v>
      </c>
      <c r="K69" s="307">
        <f>D69</f>
        <v>25</v>
      </c>
      <c r="L69" s="482">
        <f t="shared" si="1"/>
        <v>75</v>
      </c>
    </row>
    <row r="70" spans="3:12">
      <c r="C70" s="105" t="s">
        <v>66</v>
      </c>
      <c r="D70" s="305">
        <f>D23+D15+D16</f>
        <v>0</v>
      </c>
      <c r="E70" s="478"/>
      <c r="F70" s="479">
        <f>D70</f>
        <v>0</v>
      </c>
      <c r="G70" s="480"/>
      <c r="H70" s="301"/>
      <c r="I70" s="481">
        <f t="shared" si="7"/>
        <v>0</v>
      </c>
      <c r="J70" s="307">
        <f>I70</f>
        <v>0</v>
      </c>
      <c r="K70" s="307">
        <f>I70</f>
        <v>0</v>
      </c>
      <c r="L70" s="482">
        <f t="shared" si="1"/>
        <v>0</v>
      </c>
    </row>
    <row r="71" spans="3:12">
      <c r="C71" s="94" t="s">
        <v>67</v>
      </c>
      <c r="D71" s="43">
        <v>0</v>
      </c>
      <c r="E71" s="467"/>
      <c r="F71" s="471">
        <f>D71+E71</f>
        <v>0</v>
      </c>
      <c r="G71" s="116">
        <f>'8. General Startup Costs'!$F$29</f>
        <v>0</v>
      </c>
      <c r="H71"/>
      <c r="I71" s="472">
        <f>F71+G71</f>
        <v>0</v>
      </c>
      <c r="J71" s="270">
        <f>F71*(1+$J$100)</f>
        <v>0</v>
      </c>
      <c r="K71" s="270">
        <f t="shared" ref="K71:K82" si="8">J71*(1+$J$100)</f>
        <v>0</v>
      </c>
      <c r="L71" s="463">
        <f t="shared" si="1"/>
        <v>0</v>
      </c>
    </row>
    <row r="72" spans="3:12">
      <c r="C72" s="94" t="s">
        <v>68</v>
      </c>
      <c r="D72" s="43">
        <v>0</v>
      </c>
      <c r="E72" s="467"/>
      <c r="F72" s="471">
        <f t="shared" ref="F72:F82" si="9">D72+E72</f>
        <v>0</v>
      </c>
      <c r="G72" s="116">
        <f>'8. General Startup Costs'!$F$30</f>
        <v>0</v>
      </c>
      <c r="H72"/>
      <c r="I72" s="472">
        <f t="shared" ref="I72:I82" si="10">F72+G72</f>
        <v>0</v>
      </c>
      <c r="J72" s="270">
        <f t="shared" ref="J72:J82" si="11">F72*(1+$J$100)</f>
        <v>0</v>
      </c>
      <c r="K72" s="270">
        <f t="shared" si="8"/>
        <v>0</v>
      </c>
      <c r="L72" s="463">
        <f t="shared" si="1"/>
        <v>0</v>
      </c>
    </row>
    <row r="73" spans="3:12">
      <c r="C73" s="94" t="s">
        <v>69</v>
      </c>
      <c r="D73" s="43">
        <v>0</v>
      </c>
      <c r="E73" s="467"/>
      <c r="F73" s="471">
        <f t="shared" si="9"/>
        <v>0</v>
      </c>
      <c r="G73" s="114"/>
      <c r="H73"/>
      <c r="I73" s="472">
        <f t="shared" si="10"/>
        <v>0</v>
      </c>
      <c r="J73" s="270">
        <f t="shared" si="11"/>
        <v>0</v>
      </c>
      <c r="K73" s="270">
        <f t="shared" si="8"/>
        <v>0</v>
      </c>
      <c r="L73" s="463">
        <f t="shared" si="1"/>
        <v>0</v>
      </c>
    </row>
    <row r="74" spans="3:12">
      <c r="C74" s="94" t="s">
        <v>70</v>
      </c>
      <c r="D74" s="43">
        <v>0</v>
      </c>
      <c r="E74" s="467"/>
      <c r="F74" s="471">
        <f t="shared" si="9"/>
        <v>0</v>
      </c>
      <c r="G74" s="114"/>
      <c r="H74"/>
      <c r="I74" s="472">
        <f t="shared" si="10"/>
        <v>0</v>
      </c>
      <c r="J74" s="270">
        <f t="shared" si="11"/>
        <v>0</v>
      </c>
      <c r="K74" s="270">
        <f t="shared" si="8"/>
        <v>0</v>
      </c>
      <c r="L74" s="463">
        <f t="shared" si="1"/>
        <v>0</v>
      </c>
    </row>
    <row r="75" spans="3:12">
      <c r="C75" s="94" t="s">
        <v>71</v>
      </c>
      <c r="D75" s="43">
        <v>0</v>
      </c>
      <c r="E75" s="467"/>
      <c r="F75" s="471">
        <f t="shared" si="9"/>
        <v>0</v>
      </c>
      <c r="G75" s="116">
        <f>'8. General Startup Costs'!$F$31</f>
        <v>0</v>
      </c>
      <c r="H75"/>
      <c r="I75" s="472">
        <f t="shared" si="10"/>
        <v>0</v>
      </c>
      <c r="J75" s="270">
        <f t="shared" si="11"/>
        <v>0</v>
      </c>
      <c r="K75" s="270">
        <f t="shared" si="8"/>
        <v>0</v>
      </c>
      <c r="L75" s="463">
        <f t="shared" si="1"/>
        <v>0</v>
      </c>
    </row>
    <row r="76" spans="3:12" ht="47.25">
      <c r="C76" s="94" t="s">
        <v>72</v>
      </c>
      <c r="D76" s="43">
        <v>0</v>
      </c>
      <c r="E76" s="205">
        <f>IF(OR('9. Medicaid Admin Costs'!$F$5="Apply to ACT Tab 4",'9. Medicaid Admin Costs'!$F$5="Apply to All"),(SUMIF('9. Medicaid Admin Costs'!$D$29:$D$40,"Ongoing - Annually",'9. Medicaid Admin Costs'!$I$29:$I$40)+SUMIF('9. Medicaid Admin Costs'!$D$29:$D$40,"Ongoing - Monthly",'9. Medicaid Admin Costs'!$I$29:$I$40)+SUMIF('9. Medicaid Admin Costs'!$D$29:$D$40,"Ongoing - Quarterly",'9. Medicaid Admin Costs'!$I$29:$I$40)),0)</f>
        <v>0</v>
      </c>
      <c r="F76" s="471">
        <f t="shared" si="9"/>
        <v>0</v>
      </c>
      <c r="G76" s="116">
        <f>SUM('8. General Startup Costs'!$F$33:$F$44)+(IF(OR('9. Medicaid Admin Costs'!$F$5="Apply to ACT Tab 4",'9. Medicaid Admin Costs'!$F$5="Apply to All"),SUMIF('9. Medicaid Admin Costs'!$D$29:$D$40,"Start Up",'9. Medicaid Admin Costs'!$I$29:$I$40),0))</f>
        <v>0</v>
      </c>
      <c r="H76"/>
      <c r="I76" s="472">
        <f t="shared" si="10"/>
        <v>0</v>
      </c>
      <c r="J76" s="270">
        <f t="shared" si="11"/>
        <v>0</v>
      </c>
      <c r="K76" s="270">
        <f t="shared" si="8"/>
        <v>0</v>
      </c>
      <c r="L76" s="463">
        <f t="shared" si="1"/>
        <v>0</v>
      </c>
    </row>
    <row r="77" spans="3:12" ht="63">
      <c r="C77" s="94" t="s">
        <v>73</v>
      </c>
      <c r="D77" s="43">
        <v>0</v>
      </c>
      <c r="E77" s="467"/>
      <c r="F77" s="471">
        <f t="shared" si="9"/>
        <v>0</v>
      </c>
      <c r="G77" s="116">
        <f>'8. General Startup Costs'!$F$45</f>
        <v>0</v>
      </c>
      <c r="H77"/>
      <c r="I77" s="472">
        <f t="shared" si="10"/>
        <v>0</v>
      </c>
      <c r="J77" s="270">
        <f t="shared" si="11"/>
        <v>0</v>
      </c>
      <c r="K77" s="270">
        <f t="shared" si="8"/>
        <v>0</v>
      </c>
      <c r="L77" s="463">
        <f t="shared" si="1"/>
        <v>0</v>
      </c>
    </row>
    <row r="78" spans="3:12">
      <c r="C78" s="94" t="s">
        <v>74</v>
      </c>
      <c r="D78" s="43">
        <v>0</v>
      </c>
      <c r="E78" s="467"/>
      <c r="F78" s="471">
        <f t="shared" si="9"/>
        <v>0</v>
      </c>
      <c r="G78" s="114"/>
      <c r="H78"/>
      <c r="I78" s="472">
        <f t="shared" si="10"/>
        <v>0</v>
      </c>
      <c r="J78" s="270">
        <f t="shared" si="11"/>
        <v>0</v>
      </c>
      <c r="K78" s="270">
        <f t="shared" si="8"/>
        <v>0</v>
      </c>
      <c r="L78" s="463">
        <f t="shared" si="1"/>
        <v>0</v>
      </c>
    </row>
    <row r="79" spans="3:12">
      <c r="C79" s="94" t="s">
        <v>75</v>
      </c>
      <c r="D79" s="43">
        <v>0</v>
      </c>
      <c r="E79" s="467"/>
      <c r="F79" s="471">
        <f t="shared" si="9"/>
        <v>0</v>
      </c>
      <c r="G79" s="114"/>
      <c r="H79"/>
      <c r="I79" s="472">
        <f t="shared" si="10"/>
        <v>0</v>
      </c>
      <c r="J79" s="270">
        <f t="shared" si="11"/>
        <v>0</v>
      </c>
      <c r="K79" s="270">
        <f t="shared" si="8"/>
        <v>0</v>
      </c>
      <c r="L79" s="463">
        <f t="shared" si="1"/>
        <v>0</v>
      </c>
    </row>
    <row r="80" spans="3:12" ht="38.25" customHeight="1">
      <c r="C80" s="94" t="s">
        <v>76</v>
      </c>
      <c r="D80" s="43">
        <v>0</v>
      </c>
      <c r="E80" s="205">
        <f>IF(OR('9. Medicaid Admin Costs'!$F$5="Apply to ACT Tab 4",'9. Medicaid Admin Costs'!$F$5="Apply to All"),(SUMIF('9. Medicaid Admin Costs'!$D$41:$D$48,"Ongoing - Annually",'9. Medicaid Admin Costs'!$I$41:$I$48)+SUMIF('9. Medicaid Admin Costs'!$D$41:$D$48,"Ongoing - Monthly",'9. Medicaid Admin Costs'!$I$41:$I$48)+SUMIF('9. Medicaid Admin Costs'!$D$41:$D$48,"Ongoing - Quarterly",'9. Medicaid Admin Costs'!$I$41:$I$48)),0)</f>
        <v>0</v>
      </c>
      <c r="F80" s="471">
        <f t="shared" si="9"/>
        <v>0</v>
      </c>
      <c r="G80" s="116">
        <f>SUM('8. General Startup Costs'!$F$47:$F$50)+(IF(OR('9. Medicaid Admin Costs'!$F$5="Apply to ACT Tab 4",'9. Medicaid Admin Costs'!$F$5="Apply to All"),SUMIF('9. Medicaid Admin Costs'!$D$41:$D$48,"Start Up",'9. Medicaid Admin Costs'!$I$41:$I$48),0))</f>
        <v>0</v>
      </c>
      <c r="H80"/>
      <c r="I80" s="472">
        <f t="shared" si="10"/>
        <v>0</v>
      </c>
      <c r="J80" s="270">
        <f t="shared" si="11"/>
        <v>0</v>
      </c>
      <c r="K80" s="270">
        <f t="shared" si="8"/>
        <v>0</v>
      </c>
      <c r="L80" s="463">
        <f t="shared" si="1"/>
        <v>0</v>
      </c>
    </row>
    <row r="81" spans="3:12">
      <c r="C81" s="96" t="s">
        <v>77</v>
      </c>
      <c r="D81" s="269">
        <v>0</v>
      </c>
      <c r="E81" s="483"/>
      <c r="F81" s="471">
        <f t="shared" si="9"/>
        <v>0</v>
      </c>
      <c r="G81" s="202"/>
      <c r="H81"/>
      <c r="I81" s="472">
        <f t="shared" si="10"/>
        <v>0</v>
      </c>
      <c r="J81" s="270">
        <f t="shared" si="11"/>
        <v>0</v>
      </c>
      <c r="K81" s="270">
        <f t="shared" si="8"/>
        <v>0</v>
      </c>
      <c r="L81" s="463">
        <f t="shared" si="1"/>
        <v>0</v>
      </c>
    </row>
    <row r="82" spans="3:12">
      <c r="C82" s="106" t="s">
        <v>339</v>
      </c>
      <c r="D82" s="210">
        <v>0</v>
      </c>
      <c r="E82" s="484"/>
      <c r="F82" s="485">
        <f t="shared" si="9"/>
        <v>0</v>
      </c>
      <c r="G82" s="196"/>
      <c r="H82"/>
      <c r="I82" s="497">
        <f t="shared" si="10"/>
        <v>0</v>
      </c>
      <c r="J82" s="199">
        <f t="shared" si="11"/>
        <v>0</v>
      </c>
      <c r="K82" s="199">
        <f t="shared" si="8"/>
        <v>0</v>
      </c>
      <c r="L82" s="486">
        <f t="shared" si="1"/>
        <v>0</v>
      </c>
    </row>
    <row r="83" spans="3:12" ht="22.5" customHeight="1">
      <c r="C83" s="107" t="s">
        <v>78</v>
      </c>
      <c r="D83" s="261">
        <f>SUM(D60:D67)+SUM(D71:D82)</f>
        <v>0</v>
      </c>
      <c r="E83" s="487">
        <f>SUM(E60:E67)+SUM(E71:E82)</f>
        <v>0</v>
      </c>
      <c r="F83" s="261">
        <f>SUM(F60:F67)+SUM(F71:F82)</f>
        <v>0</v>
      </c>
      <c r="G83" s="115">
        <f>SUM(G60:G67)+SUM(G71:G82)</f>
        <v>0</v>
      </c>
      <c r="H83"/>
      <c r="I83" s="187">
        <f>SUM(I60:I67)+SUM(I71:I82)</f>
        <v>0</v>
      </c>
      <c r="J83" s="465">
        <f>SUM(J60:J67)+SUM(J71:J82)</f>
        <v>0</v>
      </c>
      <c r="K83" s="465">
        <f>SUM(K60:K67)+SUM(K71:K82)</f>
        <v>0</v>
      </c>
      <c r="L83" s="99">
        <f>SUM(L60:L67)+SUM(L71:L82)</f>
        <v>0</v>
      </c>
    </row>
    <row r="84" spans="3:12">
      <c r="C84" s="100"/>
      <c r="D84" s="263"/>
      <c r="E84" s="467"/>
      <c r="F84" s="263"/>
      <c r="G84" s="114"/>
      <c r="H84"/>
      <c r="I84" s="468"/>
      <c r="J84" s="263"/>
      <c r="K84" s="263"/>
      <c r="L84" s="114"/>
    </row>
    <row r="85" spans="3:12">
      <c r="C85" s="102" t="s">
        <v>79</v>
      </c>
      <c r="D85" s="262">
        <f>D57+D83</f>
        <v>0</v>
      </c>
      <c r="E85" s="205">
        <f>SUM(E57,E83)</f>
        <v>52800</v>
      </c>
      <c r="F85" s="262">
        <f>F57+F83</f>
        <v>52800</v>
      </c>
      <c r="G85" s="116">
        <f ca="1">SUM(G57,G83)</f>
        <v>0</v>
      </c>
      <c r="H85"/>
      <c r="I85" s="488">
        <f>I57+I83</f>
        <v>52800</v>
      </c>
      <c r="J85" s="262">
        <f>J57+J83</f>
        <v>56760</v>
      </c>
      <c r="K85" s="262">
        <f>K57+K83</f>
        <v>61017</v>
      </c>
      <c r="L85" s="116">
        <f t="shared" si="1"/>
        <v>170577</v>
      </c>
    </row>
    <row r="86" spans="3:12" ht="16.5" thickBot="1">
      <c r="C86" s="102" t="s">
        <v>80</v>
      </c>
      <c r="D86" s="262">
        <f>D85*('3. Basic Input &amp; Assumptions'!$K$15)</f>
        <v>0</v>
      </c>
      <c r="E86" s="205">
        <f>E85*'3. Basic Input &amp; Assumptions'!$K$15</f>
        <v>7920</v>
      </c>
      <c r="F86" s="599">
        <f>F85*'3. Basic Input &amp; Assumptions'!$K$15</f>
        <v>7920</v>
      </c>
      <c r="G86" s="116">
        <f ca="1">G85*'3. Basic Input &amp; Assumptions'!$K$15</f>
        <v>0</v>
      </c>
      <c r="H86"/>
      <c r="I86" s="488">
        <f>I85*'3. Basic Input &amp; Assumptions'!$K$15</f>
        <v>7920</v>
      </c>
      <c r="J86" s="262">
        <f>J85*'3. Basic Input &amp; Assumptions'!$K$15</f>
        <v>8514</v>
      </c>
      <c r="K86" s="262">
        <f>K85*'3. Basic Input &amp; Assumptions'!$K$15</f>
        <v>9152.5499999999993</v>
      </c>
      <c r="L86" s="116">
        <f t="shared" si="1"/>
        <v>25586.55</v>
      </c>
    </row>
    <row r="87" spans="3:12" ht="16.5" thickBot="1">
      <c r="C87" s="93" t="s">
        <v>81</v>
      </c>
      <c r="D87" s="261">
        <f>D85+D86</f>
        <v>0</v>
      </c>
      <c r="E87" s="460">
        <f>SUM(E85:E86)</f>
        <v>60720</v>
      </c>
      <c r="F87" s="598">
        <f>F85+F86</f>
        <v>60720</v>
      </c>
      <c r="G87" s="115">
        <f ca="1">SUM(G85:G86)</f>
        <v>0</v>
      </c>
      <c r="H87"/>
      <c r="I87" s="461">
        <f>I85+I86</f>
        <v>60720</v>
      </c>
      <c r="J87" s="261">
        <f>J85+J86</f>
        <v>65274</v>
      </c>
      <c r="K87" s="261">
        <f>K85+K86</f>
        <v>70169.55</v>
      </c>
      <c r="L87" s="115">
        <f t="shared" si="1"/>
        <v>196163.55</v>
      </c>
    </row>
    <row r="88" spans="3:12">
      <c r="C88" s="108"/>
      <c r="D88" s="263"/>
      <c r="E88" s="467"/>
      <c r="F88" s="600"/>
      <c r="G88" s="114"/>
      <c r="H88"/>
      <c r="I88" s="468"/>
      <c r="J88" s="263"/>
      <c r="K88" s="263"/>
      <c r="L88" s="114"/>
    </row>
    <row r="89" spans="3:12" ht="16.5" thickBot="1">
      <c r="C89" s="120" t="s">
        <v>82</v>
      </c>
      <c r="D89" s="264"/>
      <c r="E89" s="469"/>
      <c r="F89" s="264"/>
      <c r="G89" s="118"/>
      <c r="H89"/>
      <c r="I89" s="470"/>
      <c r="J89" s="264"/>
      <c r="K89" s="264"/>
      <c r="L89" s="118"/>
    </row>
    <row r="90" spans="3:12" ht="18" customHeight="1" thickTop="1">
      <c r="C90" s="119" t="s">
        <v>83</v>
      </c>
      <c r="D90" s="204">
        <v>0</v>
      </c>
      <c r="E90" s="207"/>
      <c r="F90" s="262">
        <f t="shared" ref="F90:F96" si="12">D90</f>
        <v>0</v>
      </c>
      <c r="G90" s="190"/>
      <c r="H90"/>
      <c r="I90" s="488">
        <f t="shared" ref="I90:I96" si="13">D90</f>
        <v>0</v>
      </c>
      <c r="J90" s="204">
        <f>I90</f>
        <v>0</v>
      </c>
      <c r="K90" s="204">
        <f>J90</f>
        <v>0</v>
      </c>
      <c r="L90" s="462">
        <f t="shared" si="1"/>
        <v>0</v>
      </c>
    </row>
    <row r="91" spans="3:12">
      <c r="C91" s="94" t="s">
        <v>31</v>
      </c>
      <c r="D91" s="43">
        <v>0</v>
      </c>
      <c r="E91" s="467"/>
      <c r="F91" s="262">
        <f t="shared" si="12"/>
        <v>0</v>
      </c>
      <c r="G91" s="114"/>
      <c r="H91"/>
      <c r="I91" s="488">
        <f t="shared" si="13"/>
        <v>0</v>
      </c>
      <c r="J91" s="43">
        <f t="shared" ref="J91:K95" si="14">I91</f>
        <v>0</v>
      </c>
      <c r="K91" s="43">
        <f t="shared" si="14"/>
        <v>0</v>
      </c>
      <c r="L91" s="463">
        <f t="shared" si="1"/>
        <v>0</v>
      </c>
    </row>
    <row r="92" spans="3:12">
      <c r="C92" s="94" t="s">
        <v>32</v>
      </c>
      <c r="D92" s="43">
        <v>0</v>
      </c>
      <c r="E92" s="467"/>
      <c r="F92" s="262">
        <f t="shared" si="12"/>
        <v>0</v>
      </c>
      <c r="G92" s="114"/>
      <c r="H92"/>
      <c r="I92" s="488">
        <f t="shared" si="13"/>
        <v>0</v>
      </c>
      <c r="J92" s="43">
        <f t="shared" si="14"/>
        <v>0</v>
      </c>
      <c r="K92" s="43">
        <f t="shared" si="14"/>
        <v>0</v>
      </c>
      <c r="L92" s="463">
        <f t="shared" si="1"/>
        <v>0</v>
      </c>
    </row>
    <row r="93" spans="3:12">
      <c r="C93" s="94" t="s">
        <v>33</v>
      </c>
      <c r="D93" s="43">
        <v>0</v>
      </c>
      <c r="E93" s="467"/>
      <c r="F93" s="262">
        <f t="shared" si="12"/>
        <v>0</v>
      </c>
      <c r="G93" s="114"/>
      <c r="H93"/>
      <c r="I93" s="488">
        <f t="shared" si="13"/>
        <v>0</v>
      </c>
      <c r="J93" s="43">
        <f t="shared" si="14"/>
        <v>0</v>
      </c>
      <c r="K93" s="43">
        <f t="shared" si="14"/>
        <v>0</v>
      </c>
      <c r="L93" s="463">
        <f t="shared" si="1"/>
        <v>0</v>
      </c>
    </row>
    <row r="94" spans="3:12">
      <c r="C94" s="94" t="s">
        <v>343</v>
      </c>
      <c r="D94" s="262">
        <f>IF(D42="15-minute increments",D23*D39*D44,IF(D42="Per diem",D23*D44*D39,IF(D42="Per member per month",D10*D44*D39,0)))</f>
        <v>0</v>
      </c>
      <c r="E94" s="467"/>
      <c r="F94" s="262">
        <f t="shared" si="12"/>
        <v>0</v>
      </c>
      <c r="G94" s="114"/>
      <c r="H94"/>
      <c r="I94" s="488">
        <f t="shared" si="13"/>
        <v>0</v>
      </c>
      <c r="J94" s="489">
        <f t="shared" si="14"/>
        <v>0</v>
      </c>
      <c r="K94" s="489">
        <f t="shared" si="14"/>
        <v>0</v>
      </c>
      <c r="L94" s="463">
        <f t="shared" si="1"/>
        <v>0</v>
      </c>
    </row>
    <row r="95" spans="3:12">
      <c r="C95" s="106" t="s">
        <v>35</v>
      </c>
      <c r="D95" s="210">
        <v>0</v>
      </c>
      <c r="E95" s="484"/>
      <c r="F95" s="485">
        <f t="shared" si="12"/>
        <v>0</v>
      </c>
      <c r="G95" s="196"/>
      <c r="H95"/>
      <c r="I95" s="490">
        <f t="shared" si="13"/>
        <v>0</v>
      </c>
      <c r="J95" s="210">
        <f t="shared" si="14"/>
        <v>0</v>
      </c>
      <c r="K95" s="210">
        <f t="shared" si="14"/>
        <v>0</v>
      </c>
      <c r="L95" s="486">
        <f t="shared" si="1"/>
        <v>0</v>
      </c>
    </row>
    <row r="96" spans="3:12">
      <c r="C96" s="107" t="s">
        <v>84</v>
      </c>
      <c r="D96" s="261">
        <f>SUM(D90:D95)</f>
        <v>0</v>
      </c>
      <c r="E96" s="207"/>
      <c r="F96" s="261">
        <f t="shared" si="12"/>
        <v>0</v>
      </c>
      <c r="G96" s="190"/>
      <c r="H96"/>
      <c r="I96" s="461">
        <f t="shared" si="13"/>
        <v>0</v>
      </c>
      <c r="J96" s="471">
        <f>SUM(J90:J95)</f>
        <v>0</v>
      </c>
      <c r="K96" s="471">
        <f>SUM(K90:K95)</f>
        <v>0</v>
      </c>
      <c r="L96" s="462">
        <f t="shared" si="1"/>
        <v>0</v>
      </c>
    </row>
    <row r="97" spans="3:12" ht="16.5" thickBot="1">
      <c r="C97" s="109"/>
      <c r="D97" s="266"/>
      <c r="E97" s="491"/>
      <c r="F97" s="597"/>
      <c r="G97" s="117"/>
      <c r="H97"/>
      <c r="I97" s="492"/>
      <c r="J97" s="266"/>
      <c r="K97" s="266"/>
      <c r="L97" s="117"/>
    </row>
    <row r="98" spans="3:12" ht="16.5" thickBot="1">
      <c r="C98" s="111" t="s">
        <v>85</v>
      </c>
      <c r="D98" s="267">
        <f>D96-D87</f>
        <v>0</v>
      </c>
      <c r="E98" s="596"/>
      <c r="F98" s="598">
        <f>F96-F87</f>
        <v>-60720</v>
      </c>
      <c r="G98" s="494"/>
      <c r="H98"/>
      <c r="I98" s="493">
        <f>I96-I87</f>
        <v>-60720</v>
      </c>
      <c r="J98" s="495">
        <f>J96-J87</f>
        <v>-65274</v>
      </c>
      <c r="K98" s="267">
        <f>K96-K87</f>
        <v>-70169.55</v>
      </c>
      <c r="L98" s="496">
        <f>L96-L87</f>
        <v>-196163.55</v>
      </c>
    </row>
    <row r="99" spans="3:12" ht="16.5" thickBot="1">
      <c r="F99"/>
      <c r="G99" s="20"/>
      <c r="H99"/>
      <c r="I99" s="19"/>
      <c r="L99" s="19"/>
    </row>
    <row r="100" spans="3:12" ht="16.5" thickBot="1">
      <c r="C100" s="733">
        <f>D94/(F87)</f>
        <v>0</v>
      </c>
      <c r="D100" s="734"/>
      <c r="F100"/>
      <c r="I100" s="268" t="s">
        <v>163</v>
      </c>
      <c r="J100" s="127">
        <f>'3. Basic Input &amp; Assumptions'!K19</f>
        <v>7.4999999999999997E-2</v>
      </c>
      <c r="L100" s="19"/>
    </row>
    <row r="101" spans="3:12" ht="18" customHeight="1">
      <c r="C101" s="721" t="s">
        <v>346</v>
      </c>
      <c r="D101" s="721"/>
      <c r="F101"/>
      <c r="I101"/>
    </row>
    <row r="102" spans="3:12">
      <c r="C102" s="722"/>
      <c r="D102" s="722"/>
      <c r="I102"/>
    </row>
    <row r="103" spans="3:12">
      <c r="C103" s="722"/>
      <c r="D103" s="722"/>
    </row>
  </sheetData>
  <sheetProtection algorithmName="SHA-512" hashValue="sTVLIqvNPbMfPc8Wvz3yfuZl9fFLZxYjeCRsbKex2E5B4aN+ViXziN+qs4H65U+LvyixduK943aCezL3fIkZpQ==" saltValue="HJ6E1/u09fsv31YbNwhsYQ==" spinCount="100000" sheet="1" objects="1" scenarios="1"/>
  <mergeCells count="18">
    <mergeCell ref="F21:I21"/>
    <mergeCell ref="F22:I22"/>
    <mergeCell ref="C5:G5"/>
    <mergeCell ref="C12:E12"/>
    <mergeCell ref="E38:I38"/>
    <mergeCell ref="F15:I15"/>
    <mergeCell ref="C101:D103"/>
    <mergeCell ref="F17:I17"/>
    <mergeCell ref="F18:I18"/>
    <mergeCell ref="F16:I16"/>
    <mergeCell ref="E43:I43"/>
    <mergeCell ref="I49:L49"/>
    <mergeCell ref="C49:G49"/>
    <mergeCell ref="C31:D31"/>
    <mergeCell ref="C100:D100"/>
    <mergeCell ref="C41:D41"/>
    <mergeCell ref="F19:I19"/>
    <mergeCell ref="F20:I20"/>
  </mergeCells>
  <conditionalFormatting sqref="C100">
    <cfRule type="expression" dxfId="1" priority="74">
      <formula>$I$94&gt;0</formula>
    </cfRule>
  </conditionalFormatting>
  <conditionalFormatting sqref="E43">
    <cfRule type="expression" dxfId="0" priority="1">
      <formula>AND($D$43&lt;&gt;0,OR($D$42="15-minute increments",$D$42="Per diem",$D$42="Per member per month"))</formula>
    </cfRule>
  </conditionalFormatting>
  <dataValidations count="1">
    <dataValidation type="whole" allowBlank="1" showInputMessage="1" showErrorMessage="1" sqref="D9:E9 G9" xr:uid="{00000000-0002-0000-0300-000000000000}">
      <formula1>0</formula1>
      <formula2>100000</formula2>
    </dataValidation>
  </dataValidations>
  <pageMargins left="0.7" right="0.7" top="0.75" bottom="0.75" header="0.3" footer="0.3"/>
  <pageSetup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9E3BCA3-11C5-48E6-8AA9-8B0CE3B2ABD5}">
          <x14:formula1>
            <xm:f>'LISTS - DO NOT EDIT'!$A$20:$A$23</xm:f>
          </x14:formula1>
          <xm:sqref>D42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406B4-1A2F-4D62-B6B4-C2950F1C2C9D}">
  <sheetPr>
    <tabColor theme="4"/>
  </sheetPr>
  <dimension ref="B1:Y115"/>
  <sheetViews>
    <sheetView showGridLines="0" zoomScaleNormal="100" workbookViewId="0">
      <selection activeCell="D54" sqref="D54"/>
    </sheetView>
  </sheetViews>
  <sheetFormatPr defaultColWidth="9.140625" defaultRowHeight="15.75"/>
  <cols>
    <col min="1" max="2" width="2.85546875" style="19" customWidth="1"/>
    <col min="3" max="3" width="40" style="19" customWidth="1"/>
    <col min="4" max="5" width="28" style="19" customWidth="1"/>
    <col min="6" max="6" width="28" style="21" customWidth="1"/>
    <col min="7" max="7" width="25.85546875" style="20" customWidth="1"/>
    <col min="8" max="8" width="2.28515625" style="20" customWidth="1"/>
    <col min="9" max="10" width="25.140625" style="272" customWidth="1"/>
    <col min="11" max="11" width="25.140625" style="223" customWidth="1"/>
    <col min="12" max="12" width="25.28515625" style="223" customWidth="1"/>
    <col min="13" max="13" width="25.140625" style="223" customWidth="1"/>
    <col min="14" max="14" width="9.140625" style="223" customWidth="1"/>
    <col min="15" max="15" width="24.28515625" style="223" customWidth="1"/>
    <col min="16" max="16" width="21.7109375" style="223" customWidth="1"/>
    <col min="17" max="17" width="17" style="19" customWidth="1"/>
    <col min="18" max="18" width="19.7109375" style="19" customWidth="1"/>
    <col min="19" max="16384" width="9.140625" style="19"/>
  </cols>
  <sheetData>
    <row r="1" spans="2:24" s="18" customFormat="1">
      <c r="B1" s="16"/>
      <c r="C1" s="17"/>
      <c r="D1" s="17"/>
      <c r="I1" s="498"/>
      <c r="J1" s="498"/>
      <c r="K1" s="498"/>
      <c r="L1" s="498"/>
      <c r="M1" s="498"/>
      <c r="N1" s="498"/>
      <c r="O1" s="498"/>
      <c r="P1" s="498"/>
    </row>
    <row r="2" spans="2:24">
      <c r="C2" s="271"/>
      <c r="D2" s="219"/>
      <c r="E2" s="219"/>
      <c r="F2" s="499"/>
    </row>
    <row r="3" spans="2:24" ht="33.75" customHeight="1">
      <c r="D3" s="500" t="s">
        <v>164</v>
      </c>
      <c r="Q3" s="223"/>
      <c r="R3" s="223"/>
      <c r="S3" s="223"/>
      <c r="T3" s="223"/>
      <c r="U3" s="223"/>
      <c r="V3" s="223"/>
      <c r="W3" s="223"/>
      <c r="X3" s="223"/>
    </row>
    <row r="4" spans="2:24">
      <c r="C4" s="63" t="s">
        <v>165</v>
      </c>
      <c r="Q4" s="223"/>
      <c r="R4" s="223"/>
      <c r="S4" s="223"/>
      <c r="T4" s="223"/>
      <c r="U4" s="223"/>
      <c r="V4" s="223"/>
      <c r="W4" s="223"/>
      <c r="X4" s="223"/>
    </row>
    <row r="5" spans="2:24" ht="111.75" customHeight="1">
      <c r="C5" s="707" t="s">
        <v>166</v>
      </c>
      <c r="D5" s="707"/>
      <c r="E5" s="707"/>
      <c r="F5" s="707"/>
      <c r="G5" s="707"/>
      <c r="I5"/>
      <c r="J5" s="128"/>
      <c r="Q5" s="223"/>
      <c r="R5" s="223"/>
      <c r="S5" s="223"/>
      <c r="T5" s="223"/>
      <c r="U5" s="223"/>
      <c r="V5" s="223"/>
      <c r="W5" s="223"/>
      <c r="X5" s="223"/>
    </row>
    <row r="6" spans="2:24" ht="12.75" customHeight="1">
      <c r="C6" s="203"/>
      <c r="D6" s="203"/>
      <c r="E6" s="203"/>
      <c r="F6" s="203"/>
      <c r="G6" s="203"/>
      <c r="H6" s="208"/>
      <c r="I6" s="128"/>
      <c r="J6" s="128"/>
      <c r="Q6" s="223"/>
      <c r="R6" s="223"/>
      <c r="S6" s="223"/>
      <c r="T6" s="223"/>
      <c r="U6" s="223"/>
      <c r="V6" s="223"/>
      <c r="W6" s="223"/>
      <c r="X6" s="223"/>
    </row>
    <row r="7" spans="2:24">
      <c r="C7" s="63" t="s">
        <v>381</v>
      </c>
      <c r="Q7" s="223"/>
      <c r="R7" s="223"/>
      <c r="S7" s="223"/>
      <c r="T7" s="223"/>
      <c r="U7" s="223"/>
      <c r="V7" s="223"/>
      <c r="W7" s="223"/>
      <c r="X7" s="223"/>
    </row>
    <row r="8" spans="2:24" ht="9" customHeight="1">
      <c r="C8" s="49"/>
      <c r="F8" s="19"/>
      <c r="G8" s="19"/>
      <c r="H8" s="19"/>
      <c r="I8" s="20"/>
      <c r="J8" s="19"/>
      <c r="K8" s="19"/>
      <c r="L8"/>
      <c r="M8"/>
      <c r="N8"/>
      <c r="O8"/>
      <c r="P8"/>
      <c r="Q8"/>
      <c r="R8"/>
    </row>
    <row r="9" spans="2:24">
      <c r="C9" s="675" t="s">
        <v>382</v>
      </c>
      <c r="D9" s="675"/>
      <c r="E9" s="62" t="s">
        <v>88</v>
      </c>
      <c r="F9" s="19"/>
      <c r="G9" s="19"/>
      <c r="H9" s="19"/>
      <c r="I9" s="20"/>
      <c r="J9" s="19"/>
      <c r="K9" s="19"/>
      <c r="L9"/>
      <c r="M9"/>
      <c r="N9"/>
      <c r="O9"/>
      <c r="P9"/>
      <c r="Q9"/>
      <c r="R9"/>
    </row>
    <row r="10" spans="2:24" ht="6.75" customHeight="1">
      <c r="C10" s="49"/>
      <c r="F10" s="19"/>
      <c r="G10" s="19"/>
      <c r="H10" s="19"/>
      <c r="I10" s="20"/>
      <c r="J10" s="19"/>
      <c r="K10" s="19"/>
      <c r="L10"/>
      <c r="M10"/>
      <c r="N10"/>
      <c r="O10"/>
      <c r="P10"/>
      <c r="Q10"/>
      <c r="R10"/>
    </row>
    <row r="11" spans="2:24" ht="18.75" customHeight="1">
      <c r="C11" s="220" t="s">
        <v>167</v>
      </c>
      <c r="D11" s="220" t="s">
        <v>374</v>
      </c>
      <c r="E11" s="221" t="s">
        <v>178</v>
      </c>
      <c r="F11" s="501" t="s">
        <v>375</v>
      </c>
      <c r="G11" s="761" t="s">
        <v>178</v>
      </c>
      <c r="H11" s="761"/>
      <c r="I11" s="502"/>
      <c r="J11" s="502"/>
      <c r="K11" s="502"/>
      <c r="Q11" s="223"/>
      <c r="R11" s="223"/>
      <c r="S11" s="223"/>
      <c r="T11" s="223"/>
      <c r="U11" s="223"/>
      <c r="V11" s="223"/>
      <c r="W11" s="223"/>
      <c r="X11" s="223"/>
    </row>
    <row r="12" spans="2:24" ht="18.75" customHeight="1">
      <c r="B12" s="224">
        <v>1</v>
      </c>
      <c r="C12" s="4" t="s">
        <v>180</v>
      </c>
      <c r="D12" s="5"/>
      <c r="E12" s="273" t="str">
        <f>IF(OR(C12="",C12="Select"),"",IF($E$9="No",VLOOKUP(C12,'3. Basic Input &amp; Assumptions'!$C$29:$I$34,6,FALSE),VLOOKUP(C12,'3. Basic Input &amp; Assumptions'!$C$29:$I$34,4,FALSE)))</f>
        <v/>
      </c>
      <c r="F12" s="5"/>
      <c r="G12" s="746" t="str">
        <f>IF(OR(C12="",C12="Select"),"",IF($E$9="No",VLOOKUP(C12,'3. Basic Input &amp; Assumptions'!$C$29:$I$34,7,FALSE),VLOOKUP(C12,'3. Basic Input &amp; Assumptions'!$C$29:$I$34,5,FALSE)))</f>
        <v/>
      </c>
      <c r="H12" s="746"/>
      <c r="K12" s="443">
        <f>IF(E12="",0,SUM(IF(D12&gt;0,D12/E12,0),IF(F12&gt;0,F12/G12,0)))</f>
        <v>0</v>
      </c>
      <c r="Q12" s="223"/>
      <c r="R12" s="223"/>
      <c r="S12" s="223"/>
      <c r="T12" s="223"/>
      <c r="U12" s="223"/>
      <c r="V12" s="223"/>
      <c r="W12" s="223"/>
      <c r="X12" s="223"/>
    </row>
    <row r="13" spans="2:24" ht="18.75" customHeight="1">
      <c r="B13" s="224">
        <v>2</v>
      </c>
      <c r="C13" s="4" t="s">
        <v>180</v>
      </c>
      <c r="D13" s="5"/>
      <c r="E13" s="273" t="str">
        <f>IF(OR(C13="",C13="Select"),"",IF($E$9="No",VLOOKUP(C13,'3. Basic Input &amp; Assumptions'!$C$29:$I$34,6,FALSE),VLOOKUP(C13,'3. Basic Input &amp; Assumptions'!$C$29:$I$34,4,FALSE)))</f>
        <v/>
      </c>
      <c r="F13" s="5"/>
      <c r="G13" s="746" t="str">
        <f>IF(OR(C13="",C13="Select"),"",IF($E$9="No",VLOOKUP(C13,'3. Basic Input &amp; Assumptions'!$C$29:$I$34,7,FALSE),VLOOKUP(C13,'3. Basic Input &amp; Assumptions'!$C$29:$I$34,5,FALSE)))</f>
        <v/>
      </c>
      <c r="H13" s="746"/>
      <c r="K13" s="443">
        <f>IF(E13="",0,SUM(IF(D13&gt;0,D13/E13,0),IF(F13&gt;0,F13/G13,0)))</f>
        <v>0</v>
      </c>
      <c r="Q13" s="223"/>
      <c r="R13" s="223"/>
      <c r="S13" s="223"/>
      <c r="T13" s="223"/>
      <c r="U13" s="223"/>
      <c r="V13" s="223"/>
      <c r="W13" s="223"/>
      <c r="X13" s="223"/>
    </row>
    <row r="14" spans="2:24" ht="18.75" customHeight="1">
      <c r="B14" s="224">
        <v>3</v>
      </c>
      <c r="C14" s="4" t="s">
        <v>180</v>
      </c>
      <c r="D14" s="5"/>
      <c r="E14" s="273" t="str">
        <f>IF(OR(C14="",C14="Select"),"",IF($E$9="No",VLOOKUP(C14,'3. Basic Input &amp; Assumptions'!$C$29:$I$34,6,FALSE),VLOOKUP(C14,'3. Basic Input &amp; Assumptions'!$C$29:$I$34,4,FALSE)))</f>
        <v/>
      </c>
      <c r="F14" s="5"/>
      <c r="G14" s="746" t="str">
        <f>IF(OR(C14="",C14="Select"),"",IF($E$9="No",VLOOKUP(C14,'3. Basic Input &amp; Assumptions'!$C$29:$I$34,7,FALSE),VLOOKUP(C14,'3. Basic Input &amp; Assumptions'!$C$29:$I$34,5,FALSE)))</f>
        <v/>
      </c>
      <c r="H14" s="746"/>
      <c r="K14" s="443">
        <f>IF(E14="",0,SUM(IF(D14&gt;0,D14/E14,0),IF(F14&gt;0,F14/G14,0)))</f>
        <v>0</v>
      </c>
      <c r="Q14" s="223"/>
      <c r="R14" s="223"/>
      <c r="S14" s="223"/>
      <c r="T14" s="223"/>
      <c r="U14" s="223"/>
      <c r="V14" s="223"/>
      <c r="W14" s="223"/>
      <c r="X14" s="223"/>
    </row>
    <row r="15" spans="2:24" ht="18.75" customHeight="1">
      <c r="B15" s="274">
        <v>4</v>
      </c>
      <c r="C15" s="4" t="s">
        <v>180</v>
      </c>
      <c r="D15" s="5"/>
      <c r="E15" s="273" t="str">
        <f>IF(OR(C15="",C15="Select"),"",IF($E$9="No",VLOOKUP(C15,'3. Basic Input &amp; Assumptions'!$C$29:$I$34,6,FALSE),VLOOKUP(C15,'3. Basic Input &amp; Assumptions'!$C$29:$I$34,4,FALSE)))</f>
        <v/>
      </c>
      <c r="F15" s="5"/>
      <c r="G15" s="746" t="str">
        <f>IF(OR(C15="",C15="Select"),"",IF($E$9="No",VLOOKUP(C15,'3. Basic Input &amp; Assumptions'!$C$29:$I$34,7,FALSE),VLOOKUP(C15,'3. Basic Input &amp; Assumptions'!$C$29:$I$34,5,FALSE)))</f>
        <v/>
      </c>
      <c r="H15" s="746"/>
      <c r="K15" s="443">
        <f>IF(E15="",0,SUM(IF(D15&gt;0,D15/E15,0),IF(F15&gt;0,F15/G15,0)))</f>
        <v>0</v>
      </c>
      <c r="Q15" s="223"/>
      <c r="R15" s="223"/>
      <c r="S15" s="223"/>
      <c r="T15" s="223"/>
      <c r="U15" s="223"/>
      <c r="V15" s="223"/>
      <c r="W15" s="223"/>
      <c r="X15" s="223"/>
    </row>
    <row r="16" spans="2:24" ht="18.75" customHeight="1">
      <c r="B16" s="274">
        <v>5</v>
      </c>
      <c r="C16" s="6" t="s">
        <v>180</v>
      </c>
      <c r="D16" s="137"/>
      <c r="E16" s="273" t="str">
        <f>IF(OR(C16="",C16="Select"),"",IF($E$9="No",VLOOKUP(C16,'3. Basic Input &amp; Assumptions'!$C$29:$I$34,6,FALSE),VLOOKUP(C16,'3. Basic Input &amp; Assumptions'!$C$29:$I$34,4,FALSE)))</f>
        <v/>
      </c>
      <c r="F16" s="15"/>
      <c r="G16" s="746" t="str">
        <f>IF(OR(C16="",C16="Select"),"",IF($E$9="No",VLOOKUP(C16,'3. Basic Input &amp; Assumptions'!$C$29:$I$34,7,FALSE),VLOOKUP(C16,'3. Basic Input &amp; Assumptions'!$C$29:$I$34,5,FALSE)))</f>
        <v/>
      </c>
      <c r="H16" s="746"/>
      <c r="K16" s="443">
        <f>IF(E16="",0,SUM(IF(D16&gt;0,D16/E16,0),IF(F16&gt;0,F16/G16,0)))</f>
        <v>0</v>
      </c>
      <c r="Q16" s="223"/>
      <c r="R16" s="223"/>
      <c r="S16" s="223"/>
      <c r="T16" s="223"/>
      <c r="U16" s="223"/>
      <c r="V16" s="223"/>
      <c r="W16" s="223"/>
      <c r="X16" s="223"/>
    </row>
    <row r="17" spans="2:24" ht="18.75" customHeight="1" thickBot="1">
      <c r="B17" s="274">
        <v>6</v>
      </c>
      <c r="C17" s="6" t="s">
        <v>180</v>
      </c>
      <c r="D17" s="137"/>
      <c r="E17" s="273" t="str">
        <f>IF(OR(C17="",C17="Select"),"",IF($E$9="No",VLOOKUP(C17,'3. Basic Input &amp; Assumptions'!$C$29:$I$34,6,FALSE),VLOOKUP(C17,'3. Basic Input &amp; Assumptions'!$C$29:$I$34,4,FALSE)))</f>
        <v/>
      </c>
      <c r="F17" s="15"/>
      <c r="G17" s="746" t="str">
        <f>IF(OR(C17="",C17="Select"),"",IF($E$9="No",VLOOKUP(C17,'3. Basic Input &amp; Assumptions'!$C$29:$I$34,7,FALSE),VLOOKUP(C17,'3. Basic Input &amp; Assumptions'!$C$29:$I$34,5,FALSE)))</f>
        <v/>
      </c>
      <c r="H17" s="746"/>
      <c r="K17" s="289"/>
      <c r="Q17" s="223"/>
      <c r="R17" s="223"/>
      <c r="S17" s="223"/>
      <c r="T17" s="223"/>
      <c r="U17" s="223"/>
      <c r="V17" s="223"/>
      <c r="W17" s="223"/>
      <c r="X17" s="223"/>
    </row>
    <row r="18" spans="2:24" ht="16.5" thickBot="1">
      <c r="C18" s="275" t="s">
        <v>133</v>
      </c>
      <c r="D18" s="276">
        <f>SUMIF(C12:C17,"&lt;&gt;Select",D12:D17)</f>
        <v>0</v>
      </c>
      <c r="E18" s="277"/>
      <c r="F18" s="278">
        <f>SUMIF(C12:C17,"&lt;&gt;Select",F12:F17)</f>
        <v>0</v>
      </c>
      <c r="G18" s="759"/>
      <c r="H18" s="760"/>
      <c r="I18" s="279"/>
      <c r="J18" s="279"/>
      <c r="Q18" s="223"/>
      <c r="R18" s="223"/>
      <c r="S18" s="223"/>
      <c r="T18" s="223"/>
      <c r="U18" s="223"/>
      <c r="V18" s="223"/>
      <c r="W18" s="223"/>
      <c r="X18" s="223"/>
    </row>
    <row r="19" spans="2:24">
      <c r="C19" s="223"/>
      <c r="Q19" s="223"/>
      <c r="R19" s="223"/>
      <c r="S19" s="223"/>
      <c r="T19" s="223"/>
      <c r="U19" s="223"/>
      <c r="V19" s="223"/>
      <c r="W19" s="223"/>
      <c r="X19" s="223"/>
    </row>
    <row r="20" spans="2:24" ht="27" customHeight="1">
      <c r="C20" s="749" t="s">
        <v>407</v>
      </c>
      <c r="D20" s="749"/>
      <c r="E20" s="749"/>
      <c r="F20" s="749"/>
      <c r="G20" s="749"/>
      <c r="Q20" s="223"/>
      <c r="R20" s="223"/>
      <c r="S20" s="504"/>
      <c r="T20" s="504"/>
      <c r="U20" s="504"/>
      <c r="V20" s="504"/>
      <c r="W20" s="223"/>
      <c r="X20" s="223"/>
    </row>
    <row r="21" spans="2:24">
      <c r="C21" s="749"/>
      <c r="D21" s="749"/>
      <c r="E21" s="749"/>
      <c r="F21" s="749"/>
      <c r="G21" s="749"/>
      <c r="H21" s="503"/>
      <c r="I21" s="505"/>
      <c r="J21" s="505"/>
      <c r="Q21" s="223"/>
      <c r="R21" s="223"/>
      <c r="S21" s="223"/>
      <c r="T21" s="223"/>
      <c r="U21" s="223"/>
      <c r="V21" s="223"/>
      <c r="W21" s="223"/>
      <c r="X21" s="223"/>
    </row>
    <row r="22" spans="2:24">
      <c r="Q22" s="223"/>
      <c r="R22" s="223"/>
      <c r="S22" s="223"/>
      <c r="T22" s="223"/>
      <c r="U22" s="223"/>
      <c r="V22" s="223"/>
      <c r="W22" s="223"/>
      <c r="X22" s="223"/>
    </row>
    <row r="23" spans="2:24">
      <c r="C23" s="619" t="s">
        <v>420</v>
      </c>
      <c r="D23" s="620">
        <f>ROUNDUP(IF(AND(D12&gt;0,E12&lt;&gt;""),D12/E12,0)+IF(AND(F12&gt;0,G12&lt;&gt;""),F12/G12,0)+IF(AND(D13&gt;0,E13&lt;&gt;""),D13/E13,0)+IF(AND(F13&gt;0,G13&lt;&gt;""),F13/G13,0)+IF(AND(D14&gt;0,E14&lt;&gt;""),D14/E14,0)+IF(AND(F14&gt;0,G14&lt;&gt;""),F14/G14,0)+IF(AND(D15&gt;0,E15&lt;&gt;""),D15/E15,0)+IF(AND(F15&gt;0,G15&lt;&gt;""),F15/G15,0)+IF(AND(D16&gt;0,E16&lt;&gt;""),D16/E16,0)+IF(AND(F16&gt;0,G16&lt;&gt;""),F16/G16,0),0)</f>
        <v>0</v>
      </c>
      <c r="E23" s="754">
        <f>ROUNDUP(SUM(K12:K16),0)</f>
        <v>0</v>
      </c>
      <c r="F23" s="755"/>
      <c r="Q23" s="223"/>
      <c r="R23" s="223"/>
      <c r="S23" s="223"/>
      <c r="T23" s="223"/>
      <c r="U23" s="223"/>
      <c r="V23" s="223"/>
      <c r="W23" s="223"/>
      <c r="X23" s="223"/>
    </row>
    <row r="24" spans="2:24" ht="8.25" customHeight="1">
      <c r="D24" s="506"/>
      <c r="Q24" s="223"/>
      <c r="R24" s="223"/>
      <c r="S24" s="223"/>
      <c r="T24" s="223"/>
      <c r="U24" s="223"/>
      <c r="V24" s="223"/>
      <c r="W24" s="223"/>
      <c r="X24" s="223"/>
    </row>
    <row r="25" spans="2:24" customFormat="1">
      <c r="C25" s="220" t="s">
        <v>421</v>
      </c>
      <c r="D25" s="68" t="s">
        <v>134</v>
      </c>
      <c r="E25" s="68" t="s">
        <v>135</v>
      </c>
    </row>
    <row r="26" spans="2:24">
      <c r="C26" s="280" t="s">
        <v>168</v>
      </c>
      <c r="D26" s="122"/>
      <c r="E26" s="7">
        <v>45000</v>
      </c>
      <c r="F26" s="756"/>
      <c r="G26" s="757"/>
      <c r="H26" s="757"/>
      <c r="I26" s="757"/>
      <c r="J26" s="757"/>
      <c r="K26" s="757"/>
    </row>
    <row r="27" spans="2:24">
      <c r="C27" s="280" t="s">
        <v>138</v>
      </c>
      <c r="D27" s="122"/>
      <c r="E27" s="7">
        <v>40000</v>
      </c>
      <c r="F27" s="756"/>
      <c r="G27" s="758"/>
      <c r="H27" s="758"/>
      <c r="I27" s="758"/>
      <c r="J27" s="758"/>
      <c r="K27" s="758"/>
    </row>
    <row r="28" spans="2:24">
      <c r="C28" s="507" t="s">
        <v>169</v>
      </c>
      <c r="D28" s="123"/>
      <c r="E28" s="8">
        <v>52000</v>
      </c>
      <c r="F28" s="64"/>
    </row>
    <row r="29" spans="2:24">
      <c r="C29" s="280" t="s">
        <v>170</v>
      </c>
      <c r="D29" s="122"/>
      <c r="E29" s="7">
        <v>48000</v>
      </c>
      <c r="F29" s="64"/>
      <c r="G29" s="64"/>
      <c r="H29" s="64"/>
      <c r="I29" s="508"/>
      <c r="J29" s="508"/>
      <c r="K29" s="508"/>
    </row>
    <row r="30" spans="2:24">
      <c r="C30" s="280" t="s">
        <v>171</v>
      </c>
      <c r="D30" s="122"/>
      <c r="E30" s="7">
        <v>45000</v>
      </c>
      <c r="F30" s="64"/>
      <c r="G30" s="64"/>
      <c r="H30" s="64"/>
      <c r="I30" s="508"/>
      <c r="J30" s="508"/>
      <c r="K30" s="508"/>
    </row>
    <row r="31" spans="2:24">
      <c r="C31" s="280" t="s">
        <v>172</v>
      </c>
      <c r="D31" s="122"/>
      <c r="E31" s="124">
        <v>45000</v>
      </c>
      <c r="F31" s="64"/>
      <c r="G31" s="64"/>
      <c r="H31" s="64"/>
      <c r="I31" s="508"/>
      <c r="J31" s="508"/>
      <c r="K31" s="508"/>
    </row>
    <row r="32" spans="2:24">
      <c r="C32" s="509" t="s">
        <v>140</v>
      </c>
      <c r="D32" s="446">
        <f>SUM(D26:D31)</f>
        <v>0</v>
      </c>
      <c r="E32" s="281"/>
      <c r="F32" s="753"/>
      <c r="G32" s="753"/>
      <c r="H32" s="753"/>
      <c r="I32" s="753"/>
      <c r="J32" s="753"/>
      <c r="K32" s="753"/>
    </row>
    <row r="33" spans="2:25" ht="4.5" customHeight="1">
      <c r="C33" s="63"/>
      <c r="D33" s="511"/>
      <c r="E33" s="281"/>
      <c r="F33" s="510"/>
      <c r="G33" s="510"/>
      <c r="H33" s="510"/>
      <c r="I33" s="510"/>
      <c r="J33" s="510"/>
      <c r="K33" s="510"/>
    </row>
    <row r="34" spans="2:25">
      <c r="C34" s="220" t="s">
        <v>377</v>
      </c>
      <c r="F34" s="68"/>
      <c r="L34" s="512"/>
      <c r="Q34" s="223"/>
      <c r="R34" s="223"/>
      <c r="S34" s="223"/>
      <c r="T34" s="223"/>
      <c r="U34" s="223"/>
      <c r="V34" s="223"/>
      <c r="W34" s="223"/>
      <c r="X34" s="223"/>
    </row>
    <row r="35" spans="2:25">
      <c r="C35" s="280" t="s">
        <v>141</v>
      </c>
      <c r="D35" s="122"/>
      <c r="E35" s="7">
        <v>70000</v>
      </c>
      <c r="F35" s="747">
        <f>ROUNDUP(D23/50,0)</f>
        <v>0</v>
      </c>
      <c r="G35" s="748"/>
      <c r="H35" s="748"/>
      <c r="I35" s="748"/>
      <c r="J35" s="513"/>
    </row>
    <row r="36" spans="2:25">
      <c r="C36" s="280" t="s">
        <v>142</v>
      </c>
      <c r="D36" s="122"/>
      <c r="E36" s="7">
        <v>36000</v>
      </c>
      <c r="F36" s="747">
        <f>ROUNDUP(D23/15,0)</f>
        <v>0</v>
      </c>
      <c r="G36" s="748"/>
      <c r="H36" s="748"/>
      <c r="I36" s="748"/>
      <c r="J36" s="513"/>
      <c r="K36" s="513"/>
    </row>
    <row r="37" spans="2:25" s="223" customFormat="1">
      <c r="B37" s="19"/>
      <c r="C37" s="218" t="s">
        <v>376</v>
      </c>
      <c r="D37" s="122"/>
      <c r="E37" s="7">
        <v>64000</v>
      </c>
      <c r="F37" s="634"/>
      <c r="G37" s="634"/>
      <c r="H37" s="635"/>
      <c r="I37" s="635"/>
      <c r="J37" s="514"/>
      <c r="K37" s="515"/>
      <c r="Q37" s="19"/>
      <c r="R37" s="19"/>
      <c r="S37" s="19"/>
      <c r="T37" s="19"/>
      <c r="U37" s="19"/>
      <c r="V37" s="19"/>
      <c r="W37" s="19"/>
      <c r="X37" s="19"/>
      <c r="Y37" s="19"/>
    </row>
    <row r="38" spans="2:25" s="223" customFormat="1">
      <c r="B38" s="19"/>
      <c r="C38" s="280" t="s">
        <v>173</v>
      </c>
      <c r="D38" s="122"/>
      <c r="E38" s="7">
        <v>50000</v>
      </c>
      <c r="F38" s="634"/>
      <c r="G38" s="634"/>
      <c r="H38" s="635"/>
      <c r="I38" s="635"/>
      <c r="J38" s="514"/>
      <c r="K38" s="515"/>
      <c r="Q38" s="19"/>
      <c r="R38" s="19"/>
      <c r="S38" s="19"/>
      <c r="T38" s="19"/>
      <c r="U38" s="19"/>
      <c r="V38" s="19"/>
      <c r="W38" s="19"/>
      <c r="X38" s="19"/>
      <c r="Y38" s="19"/>
    </row>
    <row r="39" spans="2:25" s="223" customFormat="1">
      <c r="B39" s="19"/>
      <c r="C39" s="280" t="s">
        <v>174</v>
      </c>
      <c r="D39" s="122"/>
      <c r="E39" s="7">
        <v>55000</v>
      </c>
      <c r="F39" s="747">
        <f>ROUNDUP(D23/8,0)</f>
        <v>0</v>
      </c>
      <c r="G39" s="748"/>
      <c r="H39" s="748"/>
      <c r="I39" s="748"/>
      <c r="J39" s="513"/>
      <c r="K39" s="513"/>
      <c r="Q39" s="19"/>
      <c r="R39" s="19"/>
      <c r="S39" s="19"/>
      <c r="T39" s="19"/>
      <c r="U39" s="19"/>
      <c r="V39" s="19"/>
      <c r="W39" s="19"/>
      <c r="X39" s="19"/>
      <c r="Y39" s="19"/>
    </row>
    <row r="40" spans="2:25" customFormat="1" ht="15" customHeight="1">
      <c r="C40" s="282" t="s">
        <v>145</v>
      </c>
      <c r="D40" s="516">
        <f>SUM(D35:D39)+D32</f>
        <v>0</v>
      </c>
    </row>
    <row r="41" spans="2:25" ht="16.5" thickBot="1">
      <c r="C41" s="49"/>
      <c r="D41" s="229"/>
      <c r="E41" s="229"/>
      <c r="F41" s="228"/>
      <c r="G41" s="228"/>
      <c r="H41" s="229"/>
      <c r="I41" s="227"/>
      <c r="J41"/>
      <c r="K41"/>
      <c r="L41"/>
      <c r="M41"/>
      <c r="N41"/>
      <c r="O41"/>
      <c r="P41"/>
      <c r="Q41"/>
      <c r="R41"/>
    </row>
    <row r="42" spans="2:25">
      <c r="B42" s="230"/>
      <c r="C42" s="231" t="s">
        <v>401</v>
      </c>
      <c r="D42" s="232"/>
      <c r="E42" s="232"/>
      <c r="F42" s="233"/>
      <c r="G42" s="233"/>
      <c r="H42" s="232"/>
      <c r="I42" s="234"/>
      <c r="J42"/>
      <c r="K42"/>
      <c r="L42"/>
      <c r="M42"/>
      <c r="N42"/>
      <c r="O42"/>
      <c r="P42"/>
      <c r="Q42"/>
      <c r="R42"/>
    </row>
    <row r="43" spans="2:25" ht="15.75" customHeight="1">
      <c r="B43" s="235"/>
      <c r="C43" s="732" t="s">
        <v>353</v>
      </c>
      <c r="D43" s="732"/>
      <c r="E43" s="221"/>
      <c r="F43"/>
      <c r="G43"/>
      <c r="H43" s="221"/>
      <c r="I43" s="236"/>
      <c r="J43"/>
      <c r="K43"/>
      <c r="L43"/>
      <c r="M43"/>
      <c r="N43"/>
      <c r="O43"/>
      <c r="P43"/>
      <c r="Q43"/>
      <c r="R43"/>
    </row>
    <row r="44" spans="2:25">
      <c r="B44" s="235"/>
      <c r="C44" s="237" t="s">
        <v>146</v>
      </c>
      <c r="D44" s="9">
        <v>40</v>
      </c>
      <c r="E44" s="238"/>
      <c r="F44"/>
      <c r="G44"/>
      <c r="H44" s="239"/>
      <c r="I44" s="240"/>
      <c r="J44"/>
      <c r="K44"/>
      <c r="L44"/>
      <c r="M44"/>
      <c r="N44"/>
      <c r="O44"/>
      <c r="P44"/>
      <c r="Q44"/>
      <c r="R44"/>
    </row>
    <row r="45" spans="2:25">
      <c r="B45" s="235"/>
      <c r="C45" s="237" t="s">
        <v>147</v>
      </c>
      <c r="D45" s="9">
        <v>10</v>
      </c>
      <c r="E45" s="631" t="s">
        <v>148</v>
      </c>
      <c r="F45" s="564"/>
      <c r="G45" s="564"/>
      <c r="H45" s="632"/>
      <c r="I45" s="633"/>
      <c r="J45"/>
      <c r="K45"/>
      <c r="L45"/>
      <c r="M45"/>
      <c r="N45"/>
      <c r="O45"/>
      <c r="P45"/>
      <c r="Q45"/>
      <c r="R45"/>
    </row>
    <row r="46" spans="2:25">
      <c r="B46" s="235"/>
      <c r="C46" s="241" t="s">
        <v>149</v>
      </c>
      <c r="D46" s="9">
        <v>20</v>
      </c>
      <c r="E46" s="631" t="s">
        <v>150</v>
      </c>
      <c r="F46" s="564"/>
      <c r="G46" s="564"/>
      <c r="H46" s="632"/>
      <c r="I46" s="633"/>
      <c r="J46"/>
      <c r="K46"/>
      <c r="L46"/>
      <c r="M46"/>
      <c r="N46"/>
      <c r="O46"/>
      <c r="P46"/>
      <c r="Q46"/>
      <c r="R46"/>
    </row>
    <row r="47" spans="2:25">
      <c r="B47" s="235"/>
      <c r="C47" s="241" t="s">
        <v>151</v>
      </c>
      <c r="D47" s="9">
        <v>3</v>
      </c>
      <c r="E47" s="631" t="s">
        <v>152</v>
      </c>
      <c r="F47" s="564"/>
      <c r="G47" s="564"/>
      <c r="H47" s="632"/>
      <c r="I47" s="633"/>
      <c r="J47"/>
      <c r="K47"/>
      <c r="L47"/>
      <c r="M47"/>
      <c r="N47"/>
      <c r="O47"/>
      <c r="P47"/>
      <c r="Q47"/>
      <c r="R47"/>
    </row>
    <row r="48" spans="2:25">
      <c r="B48" s="235"/>
      <c r="C48" s="241" t="s">
        <v>153</v>
      </c>
      <c r="D48" s="166">
        <v>1</v>
      </c>
      <c r="E48" s="631" t="s">
        <v>154</v>
      </c>
      <c r="F48" s="564"/>
      <c r="G48" s="564"/>
      <c r="H48" s="632"/>
      <c r="I48" s="633"/>
      <c r="J48"/>
      <c r="K48"/>
      <c r="L48"/>
      <c r="M48"/>
      <c r="N48"/>
      <c r="O48"/>
      <c r="P48"/>
      <c r="Q48"/>
      <c r="R48"/>
    </row>
    <row r="49" spans="2:18">
      <c r="B49" s="235"/>
      <c r="C49" s="241" t="s">
        <v>158</v>
      </c>
      <c r="D49" s="10">
        <v>0.75</v>
      </c>
      <c r="E49" s="631" t="s">
        <v>355</v>
      </c>
      <c r="F49" s="564"/>
      <c r="G49" s="564"/>
      <c r="H49" s="632"/>
      <c r="I49" s="633"/>
      <c r="J49"/>
      <c r="K49"/>
      <c r="L49"/>
      <c r="M49"/>
      <c r="N49"/>
      <c r="O49"/>
      <c r="P49"/>
      <c r="Q49"/>
      <c r="R49"/>
    </row>
    <row r="50" spans="2:18">
      <c r="B50" s="235"/>
      <c r="C50" s="241" t="s">
        <v>159</v>
      </c>
      <c r="D50" s="166">
        <f>ROUNDUP((D44*D49)/5,1)</f>
        <v>6</v>
      </c>
      <c r="E50" s="743">
        <f>ROUNDUP((D44*D49)/5,1)</f>
        <v>6</v>
      </c>
      <c r="F50" s="744"/>
      <c r="G50" s="744"/>
      <c r="H50" s="744"/>
      <c r="I50" s="745"/>
      <c r="J50"/>
      <c r="K50"/>
      <c r="L50"/>
      <c r="M50"/>
      <c r="N50"/>
      <c r="O50"/>
      <c r="P50"/>
      <c r="Q50"/>
      <c r="R50"/>
    </row>
    <row r="51" spans="2:18">
      <c r="B51" s="235"/>
      <c r="C51" s="241" t="str">
        <f>IF(OR(D54="15-minute increments",D54="Per diem"),"Annual UOS per FTE",IF(D54="Per member per month","Annual UOS per Client",""))</f>
        <v/>
      </c>
      <c r="D51" s="242" t="str">
        <f>IF(D54="15-minute increments",(((52*5)-SUM(D45:D48))/5)*D44*D49*4,IF(D54="Per diem",(((52*5)-SUM(D45:D48))*D50),IF(D54="Per member per month",12,"")))</f>
        <v/>
      </c>
      <c r="E51" s="175"/>
      <c r="F51"/>
      <c r="G51"/>
      <c r="H51" s="175"/>
      <c r="I51" s="243"/>
      <c r="J51"/>
      <c r="K51"/>
      <c r="L51"/>
      <c r="M51"/>
      <c r="N51"/>
      <c r="O51"/>
      <c r="P51"/>
      <c r="Q51"/>
      <c r="R51"/>
    </row>
    <row r="52" spans="2:18">
      <c r="B52" s="235"/>
      <c r="C52" s="244"/>
      <c r="D52"/>
      <c r="E52" s="245"/>
      <c r="F52"/>
      <c r="G52"/>
      <c r="H52" s="245"/>
      <c r="I52" s="240"/>
      <c r="J52"/>
      <c r="K52"/>
      <c r="L52"/>
      <c r="M52"/>
      <c r="N52"/>
      <c r="O52"/>
      <c r="P52"/>
      <c r="Q52"/>
      <c r="R52"/>
    </row>
    <row r="53" spans="2:18" ht="15.75" customHeight="1">
      <c r="B53" s="235"/>
      <c r="C53" s="732" t="s">
        <v>342</v>
      </c>
      <c r="D53" s="732"/>
      <c r="E53" s="245"/>
      <c r="F53"/>
      <c r="G53"/>
      <c r="H53" s="245"/>
      <c r="I53" s="240"/>
      <c r="J53"/>
      <c r="K53"/>
      <c r="L53"/>
      <c r="M53"/>
      <c r="N53"/>
      <c r="O53"/>
      <c r="P53"/>
      <c r="Q53"/>
      <c r="R53"/>
    </row>
    <row r="54" spans="2:18">
      <c r="B54" s="235"/>
      <c r="C54" s="241" t="s">
        <v>155</v>
      </c>
      <c r="D54" s="574" t="s">
        <v>180</v>
      </c>
      <c r="E54" s="246"/>
      <c r="F54"/>
      <c r="G54"/>
      <c r="H54" s="247"/>
      <c r="I54" s="240"/>
      <c r="J54"/>
      <c r="K54"/>
      <c r="L54"/>
      <c r="M54"/>
      <c r="N54"/>
      <c r="O54"/>
      <c r="P54"/>
      <c r="Q54"/>
      <c r="R54"/>
    </row>
    <row r="55" spans="2:18">
      <c r="B55" s="235"/>
      <c r="C55" s="241" t="s">
        <v>367</v>
      </c>
      <c r="D55" s="594">
        <v>0</v>
      </c>
      <c r="E55" s="750" t="str">
        <f>IF(AND(OR(SUM(D18:F18)=0,SUM(D18:F18)=""),OR(D54="Select",D54="")),"",IF(AND(OR(D54="15-minute increments",D54="Per diem",D54="Per member per month"),OR(SUM(D18:F18)=0,SUM(D18:F18)=""),D32&gt;0),"Please fill in your target populations above in section 1", IF(AND(OR(D54="15-minute increments",D54="Per diem",D54="Per member per month"),OR(D32="",D32=0),SUM(D18:F18)&gt;0),"Please fill in your billing staff above in section 2a",IF(AND(OR(D54="15-minute increments",D54="Per diem",D54="Per member per month"),OR(SUM(D18:F18)="",SUM(D18:F18)=0),OR(D32=0,D32="")),"Please fill in your target populations and billing staff above in sections 1 and 2a",IF(D54="15-minute increments",((F99)/D32/D51)*D55,IF(D54="Per diem",((F99)/D32/D51)*D55,IF(D54="Per member per month",((F99)/SUM(D18:F18)/D51)*D55,"")))))))</f>
        <v/>
      </c>
      <c r="F55" s="751"/>
      <c r="G55" s="751"/>
      <c r="H55" s="751"/>
      <c r="I55" s="752"/>
      <c r="J55"/>
      <c r="K55"/>
      <c r="L55"/>
      <c r="M55"/>
      <c r="N55"/>
      <c r="O55"/>
      <c r="P55"/>
      <c r="Q55"/>
      <c r="R55"/>
    </row>
    <row r="56" spans="2:18" ht="17.25" customHeight="1">
      <c r="B56" s="235"/>
      <c r="C56" s="241" t="s">
        <v>157</v>
      </c>
      <c r="D56" s="617">
        <v>0</v>
      </c>
      <c r="I56" s="595"/>
      <c r="J56"/>
      <c r="K56"/>
      <c r="L56"/>
      <c r="M56"/>
      <c r="N56"/>
      <c r="O56"/>
      <c r="P56"/>
      <c r="Q56"/>
      <c r="R56"/>
    </row>
    <row r="57" spans="2:18" ht="6.75" customHeight="1" thickBot="1">
      <c r="B57" s="248"/>
      <c r="C57" s="249"/>
      <c r="D57" s="250"/>
      <c r="E57" s="251"/>
      <c r="F57" s="252"/>
      <c r="G57" s="252"/>
      <c r="H57" s="251"/>
      <c r="I57" s="253"/>
      <c r="J57"/>
      <c r="K57"/>
      <c r="L57"/>
      <c r="M57"/>
      <c r="N57"/>
      <c r="O57"/>
      <c r="P57"/>
      <c r="Q57"/>
      <c r="R57"/>
    </row>
    <row r="58" spans="2:18">
      <c r="C58" s="244"/>
      <c r="D58" s="226"/>
      <c r="E58" s="226"/>
      <c r="F58" s="254"/>
      <c r="G58" s="254"/>
      <c r="H58" s="226"/>
      <c r="I58" s="20"/>
      <c r="J58"/>
      <c r="K58"/>
      <c r="L58"/>
      <c r="M58"/>
      <c r="N58"/>
      <c r="O58"/>
      <c r="P58"/>
      <c r="Q58"/>
      <c r="R58"/>
    </row>
    <row r="59" spans="2:18" ht="29.25" customHeight="1">
      <c r="C59" s="63" t="s">
        <v>356</v>
      </c>
      <c r="D59" s="255"/>
      <c r="E59" s="255"/>
      <c r="F59" s="19"/>
      <c r="G59" s="19"/>
      <c r="H59" s="255"/>
      <c r="I59" s="20"/>
      <c r="J59"/>
      <c r="K59"/>
      <c r="L59"/>
      <c r="M59"/>
      <c r="N59"/>
      <c r="O59"/>
      <c r="P59"/>
      <c r="Q59"/>
      <c r="R59"/>
    </row>
    <row r="60" spans="2:18" ht="8.25" customHeight="1" thickBot="1">
      <c r="C60" s="49"/>
      <c r="F60" s="19"/>
      <c r="G60" s="19"/>
      <c r="H60" s="19"/>
      <c r="I60" s="19"/>
      <c r="J60" s="19"/>
      <c r="K60" s="19"/>
      <c r="L60"/>
      <c r="M60"/>
      <c r="N60"/>
      <c r="O60"/>
      <c r="P60"/>
      <c r="Q60"/>
      <c r="R60"/>
    </row>
    <row r="61" spans="2:18" ht="16.5" thickBot="1">
      <c r="C61" s="670" t="s">
        <v>360</v>
      </c>
      <c r="D61" s="671"/>
      <c r="E61" s="671"/>
      <c r="F61" s="671"/>
      <c r="G61" s="672"/>
      <c r="H61"/>
      <c r="I61" s="670" t="s">
        <v>351</v>
      </c>
      <c r="J61" s="671"/>
      <c r="K61" s="671"/>
      <c r="L61" s="672"/>
      <c r="M61"/>
      <c r="N61"/>
      <c r="O61"/>
      <c r="P61"/>
      <c r="Q61"/>
      <c r="R61"/>
    </row>
    <row r="62" spans="2:18" ht="31.5">
      <c r="C62" s="452"/>
      <c r="D62" s="453" t="s">
        <v>357</v>
      </c>
      <c r="E62" s="454" t="s">
        <v>354</v>
      </c>
      <c r="F62" s="455" t="s">
        <v>362</v>
      </c>
      <c r="G62" s="456" t="s">
        <v>363</v>
      </c>
      <c r="H62"/>
      <c r="I62" s="457" t="s">
        <v>160</v>
      </c>
      <c r="J62" s="458" t="s">
        <v>161</v>
      </c>
      <c r="K62" s="458" t="s">
        <v>162</v>
      </c>
      <c r="L62" s="459" t="s">
        <v>344</v>
      </c>
      <c r="M62"/>
      <c r="N62"/>
      <c r="O62"/>
      <c r="P62"/>
      <c r="Q62"/>
      <c r="R62"/>
    </row>
    <row r="63" spans="2:18" ht="16.5" thickBot="1">
      <c r="C63" s="256" t="s">
        <v>42</v>
      </c>
      <c r="D63" s="257"/>
      <c r="E63" s="258"/>
      <c r="F63" s="257"/>
      <c r="G63" s="259"/>
      <c r="H63"/>
      <c r="I63" s="260"/>
      <c r="J63" s="257"/>
      <c r="K63" s="257"/>
      <c r="L63" s="259"/>
      <c r="M63"/>
      <c r="N63"/>
      <c r="O63"/>
      <c r="P63"/>
      <c r="Q63"/>
      <c r="R63"/>
    </row>
    <row r="64" spans="2:18" ht="16.5" thickTop="1">
      <c r="C64" s="119" t="s">
        <v>49</v>
      </c>
      <c r="D64" s="261">
        <f>SUMPRODUCT(D26:D31,E26:E31)+SUMPRODUCT(D35:D39,E35:E39)</f>
        <v>0</v>
      </c>
      <c r="E64" s="460">
        <f>IF(OR('9. Medicaid Admin Costs'!$F$5="Apply to ICM Tab 5",'9. Medicaid Admin Costs'!$F$5="Apply to All"),(SUMIF('9. Medicaid Admin Costs'!$D$12:$D$14,"Ongoing - Annually",'9. Medicaid Admin Costs'!$I$12:$I$14)+SUMIF('9. Medicaid Admin Costs'!$D$12:$D$14,"Ongoing - Monthly",'9. Medicaid Admin Costs'!$I$12:$I$14)+SUMIF('9. Medicaid Admin Costs'!$D$12:$D$14,"Ongoing - Quarterly",'9. Medicaid Admin Costs'!$I$12:$I$14)),0)</f>
        <v>40000</v>
      </c>
      <c r="F64" s="261">
        <f t="shared" ref="F64:F69" si="0">D64+E64</f>
        <v>40000</v>
      </c>
      <c r="G64" s="190"/>
      <c r="H64"/>
      <c r="I64" s="461">
        <f>F64+G64</f>
        <v>40000</v>
      </c>
      <c r="J64" s="174">
        <f>F64*(1+$J$112)</f>
        <v>43000</v>
      </c>
      <c r="K64" s="174">
        <f>J64*(1+$J$112)</f>
        <v>46225</v>
      </c>
      <c r="L64" s="462">
        <f t="shared" ref="L64:L69" si="1">I64+J64+K64</f>
        <v>129225</v>
      </c>
      <c r="M64"/>
      <c r="N64"/>
      <c r="O64"/>
      <c r="P64"/>
      <c r="Q64"/>
      <c r="R64"/>
    </row>
    <row r="65" spans="3:18">
      <c r="C65" s="94" t="s">
        <v>50</v>
      </c>
      <c r="D65" s="262">
        <f>D64*'3. Basic Input &amp; Assumptions'!K20</f>
        <v>0</v>
      </c>
      <c r="E65" s="205">
        <f>E64*'3. Basic Input &amp; Assumptions'!$K$20</f>
        <v>12800</v>
      </c>
      <c r="F65" s="261">
        <f t="shared" si="0"/>
        <v>12800</v>
      </c>
      <c r="G65" s="114"/>
      <c r="H65"/>
      <c r="I65" s="461">
        <f>I64*'3. Basic Input &amp; Assumptions'!$K$20</f>
        <v>12800</v>
      </c>
      <c r="J65" s="270">
        <f>J64*'3. Basic Input &amp; Assumptions'!$K$20</f>
        <v>13760</v>
      </c>
      <c r="K65" s="270">
        <f>(K64*'3. Basic Input &amp; Assumptions'!$K$20)</f>
        <v>14792</v>
      </c>
      <c r="L65" s="463">
        <f t="shared" si="1"/>
        <v>41352</v>
      </c>
      <c r="M65"/>
      <c r="N65"/>
      <c r="O65"/>
      <c r="P65"/>
      <c r="Q65"/>
      <c r="R65"/>
    </row>
    <row r="66" spans="3:18">
      <c r="C66" s="94" t="s">
        <v>51</v>
      </c>
      <c r="D66" s="43">
        <v>0</v>
      </c>
      <c r="E66" s="205">
        <f>IF(OR('9. Medicaid Admin Costs'!$F$5="Apply to ICM Tab 5",'9. Medicaid Admin Costs'!$F$5="Apply to All"),(SUMIF('9. Medicaid Admin Costs'!$D$16:$D$17,"Ongoing - Annually",'9. Medicaid Admin Costs'!$I$16:$I$17)+SUMIF('9. Medicaid Admin Costs'!$D$16:$D$17,"Ongoing - Monthly",'9. Medicaid Admin Costs'!$I$16:$I$17)+SUMIF('9. Medicaid Admin Costs'!$D$16:$D$17,"Ongoing - Quarterly",'9. Medicaid Admin Costs'!$I$16:$I$17)),0)</f>
        <v>0</v>
      </c>
      <c r="F66" s="261">
        <f t="shared" si="0"/>
        <v>0</v>
      </c>
      <c r="G66" s="116">
        <f ca="1">IF(OR('9. Medicaid Admin Costs'!$F$5="Apply to ICM Tab 5",'9. Medicaid Admin Costs'!$F$5="Apply to All"),SUMIF('9. Medicaid Admin Costs'!$D$16:DI$17,"Start Up",'9. Medicaid Admin Costs'!$I$16:$I$17),0)</f>
        <v>0</v>
      </c>
      <c r="H66"/>
      <c r="I66" s="461">
        <f ca="1">E66+F66+G66</f>
        <v>0</v>
      </c>
      <c r="J66" s="270">
        <f ca="1">I66*(1+$J$112)</f>
        <v>0</v>
      </c>
      <c r="K66" s="270">
        <f ca="1">J66*(1+$J$112)</f>
        <v>0</v>
      </c>
      <c r="L66" s="463">
        <f t="shared" ca="1" si="1"/>
        <v>0</v>
      </c>
      <c r="M66"/>
      <c r="N66"/>
      <c r="O66"/>
      <c r="P66"/>
      <c r="Q66"/>
      <c r="R66"/>
    </row>
    <row r="67" spans="3:18">
      <c r="C67" s="94" t="s">
        <v>52</v>
      </c>
      <c r="D67" s="43">
        <v>0</v>
      </c>
      <c r="E67" s="205">
        <f>IF(OR('9. Medicaid Admin Costs'!$F$5="Apply to ICM Tab 5",'9. Medicaid Admin Costs'!$F$5="Apply to All"),(SUMIF('9. Medicaid Admin Costs'!$D$19,"Ongoing - Annually",'9. Medicaid Admin Costs'!$I$19)+SUMIF('9. Medicaid Admin Costs'!$D$19,"Ongoing - Monthly",'9. Medicaid Admin Costs'!$I$19)+SUMIF('9. Medicaid Admin Costs'!$D$19,"Ongoing - Quarterly",'9. Medicaid Admin Costs'!$I$19)),0)</f>
        <v>0</v>
      </c>
      <c r="F67" s="261">
        <f t="shared" si="0"/>
        <v>0</v>
      </c>
      <c r="G67" s="116">
        <f>SUM('8. General Startup Costs'!$F$10:$F$15)+(IF(OR('9. Medicaid Admin Costs'!$F$5="Apply to ICM Tab 5",'9. Medicaid Admin Costs'!$F$5="Apply to All"),SUMIF('9. Medicaid Admin Costs'!$D$19,"Start Up",'9. Medicaid Admin Costs'!$I$19),0))</f>
        <v>0</v>
      </c>
      <c r="H67"/>
      <c r="I67" s="461">
        <f>F67+G67</f>
        <v>0</v>
      </c>
      <c r="J67" s="270">
        <f t="shared" ref="J67:K67" si="2">I67*(1+$J$112)</f>
        <v>0</v>
      </c>
      <c r="K67" s="270">
        <f t="shared" si="2"/>
        <v>0</v>
      </c>
      <c r="L67" s="463">
        <f t="shared" si="1"/>
        <v>0</v>
      </c>
      <c r="M67"/>
      <c r="N67"/>
      <c r="O67"/>
      <c r="P67"/>
      <c r="Q67"/>
      <c r="R67"/>
    </row>
    <row r="68" spans="3:18">
      <c r="C68" s="96" t="s">
        <v>53</v>
      </c>
      <c r="D68" s="622">
        <v>0</v>
      </c>
      <c r="E68" s="464">
        <f>IF(OR('9. Medicaid Admin Costs'!$F$5="Apply to ICM Tab 5",'9. Medicaid Admin Costs'!$F$5="Apply to All"),(SUMIF('9. Medicaid Admin Costs'!$D$21:$D$22,"Ongoing - Annually",'9. Medicaid Admin Costs'!$I$21:$I$22)+SUMIF('9. Medicaid Admin Costs'!$D$21:$D$22,"Ongoing - Monthly",'9. Medicaid Admin Costs'!$I$21:$I$22)+SUMIF('9. Medicaid Admin Costs'!$D$21:$D$22,"Ongoing - Quarterly",'9. Medicaid Admin Costs'!$I$21:$I$22)),0)</f>
        <v>0</v>
      </c>
      <c r="F68" s="261">
        <f t="shared" si="0"/>
        <v>0</v>
      </c>
      <c r="G68" s="186">
        <f>SUM('8. General Startup Costs'!$F$17:$F$20)+(IF(OR('9. Medicaid Admin Costs'!$F$5="Apply to ICM Tab 5",'9. Medicaid Admin Costs'!$F$5="Apply to All"),SUMIF('9. Medicaid Admin Costs'!$D$21:$D$22,"Start Up",'9. Medicaid Admin Costs'!$I$21:$I$22),0))</f>
        <v>0</v>
      </c>
      <c r="H68"/>
      <c r="I68" s="461">
        <f>F68+G68</f>
        <v>0</v>
      </c>
      <c r="J68" s="270">
        <f t="shared" ref="J68:K68" si="3">I68*(1+$J$112)</f>
        <v>0</v>
      </c>
      <c r="K68" s="270">
        <f t="shared" si="3"/>
        <v>0</v>
      </c>
      <c r="L68" s="463">
        <f t="shared" si="1"/>
        <v>0</v>
      </c>
      <c r="M68"/>
      <c r="N68"/>
      <c r="O68"/>
      <c r="P68"/>
      <c r="Q68"/>
      <c r="R68"/>
    </row>
    <row r="69" spans="3:18">
      <c r="C69" s="98" t="s">
        <v>54</v>
      </c>
      <c r="D69" s="261">
        <f>SUM(D64:D68)</f>
        <v>0</v>
      </c>
      <c r="E69" s="206">
        <f>SUM(E64:E68)</f>
        <v>52800</v>
      </c>
      <c r="F69" s="465">
        <f t="shared" si="0"/>
        <v>52800</v>
      </c>
      <c r="G69" s="113">
        <f ca="1">SUM(G64:G68)</f>
        <v>0</v>
      </c>
      <c r="H69"/>
      <c r="I69" s="466">
        <f ca="1">SUM(I64:I68)</f>
        <v>52800</v>
      </c>
      <c r="J69" s="465">
        <f ca="1">SUM(J64:J68)</f>
        <v>56760</v>
      </c>
      <c r="K69" s="465">
        <f ca="1">SUM(K64:K68)</f>
        <v>61017</v>
      </c>
      <c r="L69" s="113">
        <f t="shared" ca="1" si="1"/>
        <v>170577</v>
      </c>
      <c r="M69"/>
      <c r="N69"/>
      <c r="O69"/>
      <c r="P69"/>
      <c r="Q69"/>
      <c r="R69"/>
    </row>
    <row r="70" spans="3:18">
      <c r="C70" s="100"/>
      <c r="D70" s="263"/>
      <c r="E70" s="467"/>
      <c r="F70" s="263"/>
      <c r="G70" s="114"/>
      <c r="H70"/>
      <c r="I70" s="468"/>
      <c r="J70" s="263"/>
      <c r="K70" s="263"/>
      <c r="L70" s="114"/>
      <c r="M70"/>
      <c r="N70"/>
      <c r="O70"/>
      <c r="P70"/>
      <c r="Q70"/>
      <c r="R70"/>
    </row>
    <row r="71" spans="3:18" ht="16.5" thickBot="1">
      <c r="C71" s="120" t="s">
        <v>55</v>
      </c>
      <c r="D71" s="264"/>
      <c r="E71" s="469"/>
      <c r="F71" s="264"/>
      <c r="G71" s="118"/>
      <c r="H71"/>
      <c r="I71" s="470"/>
      <c r="J71" s="264"/>
      <c r="K71" s="264"/>
      <c r="L71" s="118"/>
      <c r="M71"/>
      <c r="N71"/>
      <c r="O71"/>
      <c r="P71"/>
      <c r="Q71"/>
      <c r="R71"/>
    </row>
    <row r="72" spans="3:18" ht="16.5" thickTop="1">
      <c r="C72" s="119" t="s">
        <v>56</v>
      </c>
      <c r="D72" s="204">
        <v>0</v>
      </c>
      <c r="E72" s="207"/>
      <c r="F72" s="471">
        <f>D72+E72</f>
        <v>0</v>
      </c>
      <c r="G72" s="115">
        <f>'8. General Startup Costs'!$F$24</f>
        <v>0</v>
      </c>
      <c r="H72"/>
      <c r="I72" s="472">
        <f>F72+G72</f>
        <v>0</v>
      </c>
      <c r="J72" s="174">
        <f>I72*(1+$J$112)</f>
        <v>0</v>
      </c>
      <c r="K72" s="174">
        <f>J72*(1+$J$112)</f>
        <v>0</v>
      </c>
      <c r="L72" s="462">
        <f t="shared" ref="L72:L94" si="4">I72+J72+K72</f>
        <v>0</v>
      </c>
      <c r="M72"/>
      <c r="N72"/>
      <c r="O72"/>
      <c r="P72"/>
      <c r="Q72"/>
      <c r="R72"/>
    </row>
    <row r="73" spans="3:18">
      <c r="C73" s="94" t="s">
        <v>57</v>
      </c>
      <c r="D73" s="43">
        <v>0</v>
      </c>
      <c r="E73" s="467"/>
      <c r="F73" s="471">
        <f>D73+E73</f>
        <v>0</v>
      </c>
      <c r="G73" s="116">
        <f>'8. General Startup Costs'!$F$25</f>
        <v>0</v>
      </c>
      <c r="H73"/>
      <c r="I73" s="472">
        <f t="shared" ref="I73:I74" si="5">F73+G73</f>
        <v>0</v>
      </c>
      <c r="J73" s="174">
        <f t="shared" ref="J73:K73" si="6">I73*(1+$J$112)</f>
        <v>0</v>
      </c>
      <c r="K73" s="174">
        <f t="shared" si="6"/>
        <v>0</v>
      </c>
      <c r="L73" s="463">
        <f t="shared" si="4"/>
        <v>0</v>
      </c>
      <c r="M73"/>
      <c r="N73"/>
      <c r="O73"/>
      <c r="P73"/>
      <c r="Q73"/>
      <c r="R73"/>
    </row>
    <row r="74" spans="3:18">
      <c r="C74" s="94" t="s">
        <v>58</v>
      </c>
      <c r="D74" s="43">
        <v>0</v>
      </c>
      <c r="E74" s="467"/>
      <c r="F74" s="471">
        <f t="shared" ref="F74:F78" si="7">D74+E74</f>
        <v>0</v>
      </c>
      <c r="G74" s="116">
        <f>'8. General Startup Costs'!$F$26</f>
        <v>0</v>
      </c>
      <c r="H74"/>
      <c r="I74" s="472">
        <f t="shared" si="5"/>
        <v>0</v>
      </c>
      <c r="J74" s="174">
        <f t="shared" ref="J74:K74" si="8">I74*(1+$J$112)</f>
        <v>0</v>
      </c>
      <c r="K74" s="174">
        <f t="shared" si="8"/>
        <v>0</v>
      </c>
      <c r="L74" s="463">
        <f t="shared" si="4"/>
        <v>0</v>
      </c>
      <c r="M74"/>
      <c r="N74"/>
      <c r="O74"/>
      <c r="P74"/>
      <c r="Q74"/>
      <c r="R74"/>
    </row>
    <row r="75" spans="3:18">
      <c r="C75" s="94" t="s">
        <v>59</v>
      </c>
      <c r="D75" s="43">
        <v>0</v>
      </c>
      <c r="E75" s="467"/>
      <c r="F75" s="471">
        <f t="shared" si="7"/>
        <v>0</v>
      </c>
      <c r="G75" s="114"/>
      <c r="H75"/>
      <c r="I75" s="472">
        <f>F75+G75</f>
        <v>0</v>
      </c>
      <c r="J75" s="174">
        <f t="shared" ref="J75:K75" si="9">I75*(1+$J$112)</f>
        <v>0</v>
      </c>
      <c r="K75" s="174">
        <f t="shared" si="9"/>
        <v>0</v>
      </c>
      <c r="L75" s="463">
        <f t="shared" si="4"/>
        <v>0</v>
      </c>
      <c r="M75"/>
      <c r="N75"/>
      <c r="O75"/>
      <c r="P75"/>
      <c r="Q75"/>
      <c r="R75"/>
    </row>
    <row r="76" spans="3:18" ht="31.5" customHeight="1">
      <c r="C76" s="94" t="s">
        <v>60</v>
      </c>
      <c r="D76" s="43">
        <v>0</v>
      </c>
      <c r="E76" s="467"/>
      <c r="F76" s="471">
        <f t="shared" si="7"/>
        <v>0</v>
      </c>
      <c r="G76" s="116">
        <f>'8. General Startup Costs'!$F$27</f>
        <v>0</v>
      </c>
      <c r="H76"/>
      <c r="I76" s="472">
        <f t="shared" ref="I76:I78" si="10">F76+G76</f>
        <v>0</v>
      </c>
      <c r="J76" s="174">
        <f t="shared" ref="J76:K76" si="11">I76*(1+$J$112)</f>
        <v>0</v>
      </c>
      <c r="K76" s="174">
        <f t="shared" si="11"/>
        <v>0</v>
      </c>
      <c r="L76" s="463">
        <f t="shared" si="4"/>
        <v>0</v>
      </c>
      <c r="M76"/>
      <c r="N76"/>
      <c r="O76"/>
      <c r="P76"/>
      <c r="Q76"/>
      <c r="R76"/>
    </row>
    <row r="77" spans="3:18">
      <c r="C77" s="94" t="s">
        <v>61</v>
      </c>
      <c r="D77" s="43">
        <v>0</v>
      </c>
      <c r="E77" s="467"/>
      <c r="F77" s="471">
        <f t="shared" si="7"/>
        <v>0</v>
      </c>
      <c r="G77" s="116">
        <f>'8. General Startup Costs'!$F$28</f>
        <v>0</v>
      </c>
      <c r="H77"/>
      <c r="I77" s="472">
        <f t="shared" si="10"/>
        <v>0</v>
      </c>
      <c r="J77" s="174">
        <f t="shared" ref="J77:K77" si="12">I77*(1+$J$112)</f>
        <v>0</v>
      </c>
      <c r="K77" s="174">
        <f t="shared" si="12"/>
        <v>0</v>
      </c>
      <c r="L77" s="463">
        <f t="shared" si="4"/>
        <v>0</v>
      </c>
      <c r="M77"/>
      <c r="N77"/>
      <c r="O77"/>
      <c r="P77"/>
      <c r="Q77"/>
      <c r="R77"/>
    </row>
    <row r="78" spans="3:18">
      <c r="C78" s="94" t="s">
        <v>62</v>
      </c>
      <c r="D78" s="43">
        <v>0</v>
      </c>
      <c r="E78" s="205">
        <f>IF(OR('9. Medicaid Admin Costs'!$F$5="Apply to ICM Tab 5",'9. Medicaid Admin Costs'!$F$5="Apply to All"),(SUMIF('9. Medicaid Admin Costs'!$D$28,"Ongoing - Annually",'9. Medicaid Admin Costs'!$I$28)+SUMIF('9. Medicaid Admin Costs'!$D$28,"Ongoing - Monthly",'9. Medicaid Admin Costs'!$I$28)+SUMIF('9. Medicaid Admin Costs'!$D$28,"Ongoing - Quarterly",'9. Medicaid Admin Costs'!$I$28)),0)</f>
        <v>0</v>
      </c>
      <c r="F78" s="471">
        <f t="shared" si="7"/>
        <v>0</v>
      </c>
      <c r="G78" s="114"/>
      <c r="H78"/>
      <c r="I78" s="472">
        <f t="shared" si="10"/>
        <v>0</v>
      </c>
      <c r="J78" s="174">
        <f t="shared" ref="J78:K78" si="13">I78*(1+$J$112)</f>
        <v>0</v>
      </c>
      <c r="K78" s="174">
        <f t="shared" si="13"/>
        <v>0</v>
      </c>
      <c r="L78" s="463">
        <f t="shared" si="4"/>
        <v>0</v>
      </c>
      <c r="M78"/>
      <c r="N78"/>
      <c r="O78"/>
      <c r="P78"/>
      <c r="Q78"/>
      <c r="R78"/>
    </row>
    <row r="79" spans="3:18">
      <c r="C79" s="103" t="s">
        <v>63</v>
      </c>
      <c r="D79" s="265">
        <f>D80*D81*D82*((52*5)-SUM(D45:D48))</f>
        <v>0</v>
      </c>
      <c r="E79" s="467"/>
      <c r="F79" s="471">
        <f>D79</f>
        <v>0</v>
      </c>
      <c r="G79" s="114"/>
      <c r="H79"/>
      <c r="I79" s="472">
        <f>F79</f>
        <v>0</v>
      </c>
      <c r="J79" s="174">
        <f t="shared" ref="J79:K79" si="14">I79*(1+$J$112)</f>
        <v>0</v>
      </c>
      <c r="K79" s="174">
        <f t="shared" si="14"/>
        <v>0</v>
      </c>
      <c r="L79" s="463">
        <f t="shared" si="4"/>
        <v>0</v>
      </c>
      <c r="M79"/>
      <c r="N79"/>
      <c r="O79"/>
      <c r="P79"/>
      <c r="Q79"/>
      <c r="R79"/>
    </row>
    <row r="80" spans="3:18">
      <c r="C80" s="104" t="s">
        <v>64</v>
      </c>
      <c r="D80" s="303">
        <f>'3. Basic Input &amp; Assumptions'!K18</f>
        <v>0.67</v>
      </c>
      <c r="E80" s="473"/>
      <c r="F80" s="474">
        <f>D80</f>
        <v>0.67</v>
      </c>
      <c r="G80" s="475"/>
      <c r="H80" s="301"/>
      <c r="I80" s="476">
        <f>F80</f>
        <v>0.67</v>
      </c>
      <c r="J80" s="326">
        <f t="shared" ref="J80:K80" si="15">I80*(1+$J$112)</f>
        <v>0.72025000000000006</v>
      </c>
      <c r="K80" s="326">
        <f t="shared" si="15"/>
        <v>0.77426875000000006</v>
      </c>
      <c r="L80" s="477">
        <f t="shared" si="4"/>
        <v>2.16451875</v>
      </c>
      <c r="M80"/>
      <c r="N80"/>
      <c r="O80"/>
      <c r="P80"/>
      <c r="Q80"/>
      <c r="R80"/>
    </row>
    <row r="81" spans="3:18" ht="19.5" customHeight="1">
      <c r="C81" s="105" t="s">
        <v>65</v>
      </c>
      <c r="D81" s="305">
        <f>'3. Basic Input &amp; Assumptions'!K16+'3. Basic Input &amp; Assumptions'!K17</f>
        <v>25</v>
      </c>
      <c r="E81" s="478"/>
      <c r="F81" s="479">
        <f>D81</f>
        <v>25</v>
      </c>
      <c r="G81" s="480"/>
      <c r="H81" s="301"/>
      <c r="I81" s="481">
        <f>F81</f>
        <v>25</v>
      </c>
      <c r="J81" s="307">
        <f>D81</f>
        <v>25</v>
      </c>
      <c r="K81" s="307">
        <f>D81</f>
        <v>25</v>
      </c>
      <c r="L81" s="482">
        <f t="shared" si="4"/>
        <v>75</v>
      </c>
      <c r="M81"/>
      <c r="N81"/>
      <c r="O81"/>
      <c r="P81"/>
      <c r="Q81"/>
      <c r="R81"/>
    </row>
    <row r="82" spans="3:18">
      <c r="C82" s="105" t="s">
        <v>66</v>
      </c>
      <c r="D82" s="306">
        <v>0</v>
      </c>
      <c r="E82" s="478"/>
      <c r="F82" s="479">
        <f>D82</f>
        <v>0</v>
      </c>
      <c r="G82" s="480"/>
      <c r="H82" s="301"/>
      <c r="I82" s="481">
        <f>F82</f>
        <v>0</v>
      </c>
      <c r="J82" s="307">
        <f>I82</f>
        <v>0</v>
      </c>
      <c r="K82" s="307">
        <f>I82</f>
        <v>0</v>
      </c>
      <c r="L82" s="482">
        <f t="shared" si="4"/>
        <v>0</v>
      </c>
      <c r="M82"/>
      <c r="N82"/>
      <c r="O82"/>
      <c r="P82"/>
      <c r="Q82"/>
      <c r="R82"/>
    </row>
    <row r="83" spans="3:18">
      <c r="C83" s="94" t="s">
        <v>67</v>
      </c>
      <c r="D83" s="43">
        <v>0</v>
      </c>
      <c r="E83" s="467"/>
      <c r="F83" s="471">
        <f>D83+E83</f>
        <v>0</v>
      </c>
      <c r="G83" s="116">
        <f>'8. General Startup Costs'!$F$29</f>
        <v>0</v>
      </c>
      <c r="H83"/>
      <c r="I83" s="472">
        <f>F83+G83</f>
        <v>0</v>
      </c>
      <c r="J83" s="270">
        <f>F83*(1+$J$112)</f>
        <v>0</v>
      </c>
      <c r="K83" s="270">
        <f>J83*(1+$J$112)</f>
        <v>0</v>
      </c>
      <c r="L83" s="463">
        <f t="shared" si="4"/>
        <v>0</v>
      </c>
      <c r="M83"/>
      <c r="N83"/>
      <c r="O83"/>
      <c r="P83"/>
      <c r="Q83"/>
      <c r="R83"/>
    </row>
    <row r="84" spans="3:18">
      <c r="C84" s="94" t="s">
        <v>68</v>
      </c>
      <c r="D84" s="43">
        <v>0</v>
      </c>
      <c r="E84" s="467"/>
      <c r="F84" s="471">
        <f t="shared" ref="F84:F94" si="16">D84+E84</f>
        <v>0</v>
      </c>
      <c r="G84" s="116">
        <f>'8. General Startup Costs'!$F$30</f>
        <v>0</v>
      </c>
      <c r="H84"/>
      <c r="I84" s="472">
        <f t="shared" ref="I84:I94" si="17">F84+G84</f>
        <v>0</v>
      </c>
      <c r="J84" s="270">
        <f t="shared" ref="J84:J94" si="18">F84*(1+$J$112)</f>
        <v>0</v>
      </c>
      <c r="K84" s="270">
        <f t="shared" ref="K84:K94" si="19">J84*(1+$J$112)</f>
        <v>0</v>
      </c>
      <c r="L84" s="463">
        <f t="shared" si="4"/>
        <v>0</v>
      </c>
      <c r="M84"/>
      <c r="N84"/>
      <c r="O84"/>
      <c r="P84"/>
      <c r="Q84"/>
      <c r="R84"/>
    </row>
    <row r="85" spans="3:18">
      <c r="C85" s="94" t="s">
        <v>69</v>
      </c>
      <c r="D85" s="43">
        <v>0</v>
      </c>
      <c r="E85" s="467"/>
      <c r="F85" s="471">
        <f t="shared" si="16"/>
        <v>0</v>
      </c>
      <c r="G85" s="114"/>
      <c r="H85"/>
      <c r="I85" s="472">
        <f t="shared" si="17"/>
        <v>0</v>
      </c>
      <c r="J85" s="270">
        <f t="shared" si="18"/>
        <v>0</v>
      </c>
      <c r="K85" s="270">
        <f t="shared" si="19"/>
        <v>0</v>
      </c>
      <c r="L85" s="463">
        <f t="shared" si="4"/>
        <v>0</v>
      </c>
      <c r="M85"/>
      <c r="N85"/>
      <c r="O85"/>
      <c r="P85"/>
      <c r="Q85"/>
      <c r="R85"/>
    </row>
    <row r="86" spans="3:18">
      <c r="C86" s="94" t="s">
        <v>70</v>
      </c>
      <c r="D86" s="43">
        <v>0</v>
      </c>
      <c r="E86" s="467"/>
      <c r="F86" s="471">
        <f t="shared" si="16"/>
        <v>0</v>
      </c>
      <c r="G86" s="114"/>
      <c r="H86"/>
      <c r="I86" s="472">
        <f t="shared" si="17"/>
        <v>0</v>
      </c>
      <c r="J86" s="270">
        <f t="shared" si="18"/>
        <v>0</v>
      </c>
      <c r="K86" s="270">
        <f t="shared" si="19"/>
        <v>0</v>
      </c>
      <c r="L86" s="463">
        <f t="shared" si="4"/>
        <v>0</v>
      </c>
      <c r="M86"/>
      <c r="N86"/>
      <c r="O86"/>
      <c r="P86"/>
      <c r="Q86"/>
      <c r="R86"/>
    </row>
    <row r="87" spans="3:18">
      <c r="C87" s="94" t="s">
        <v>71</v>
      </c>
      <c r="D87" s="43">
        <v>0</v>
      </c>
      <c r="E87" s="467"/>
      <c r="F87" s="471">
        <f t="shared" si="16"/>
        <v>0</v>
      </c>
      <c r="G87" s="116">
        <f>'8. General Startup Costs'!$F$31</f>
        <v>0</v>
      </c>
      <c r="H87"/>
      <c r="I87" s="472">
        <f t="shared" si="17"/>
        <v>0</v>
      </c>
      <c r="J87" s="270">
        <f t="shared" si="18"/>
        <v>0</v>
      </c>
      <c r="K87" s="270">
        <f t="shared" si="19"/>
        <v>0</v>
      </c>
      <c r="L87" s="463">
        <f t="shared" si="4"/>
        <v>0</v>
      </c>
      <c r="M87"/>
      <c r="N87"/>
      <c r="O87"/>
      <c r="P87"/>
      <c r="Q87"/>
      <c r="R87"/>
    </row>
    <row r="88" spans="3:18" ht="47.25">
      <c r="C88" s="94" t="s">
        <v>72</v>
      </c>
      <c r="D88" s="43">
        <v>0</v>
      </c>
      <c r="E88" s="205">
        <f>IF(OR('9. Medicaid Admin Costs'!$F$5="Apply to ICM Tab 5",'9. Medicaid Admin Costs'!$F$5="Apply to All"),(SUMIF('9. Medicaid Admin Costs'!$D$29:$D$40,"Ongoing - Annually",'9. Medicaid Admin Costs'!$I$29:$I$40)+SUMIF('9. Medicaid Admin Costs'!$D$29:$D$40,"Ongoing - Monthly",'9. Medicaid Admin Costs'!$I$29:$I$40)+SUMIF('9. Medicaid Admin Costs'!$D$29:$D$40,"Ongoing - Quarterly",'9. Medicaid Admin Costs'!$I$29:$I$40)),0)</f>
        <v>0</v>
      </c>
      <c r="F88" s="471">
        <f t="shared" si="16"/>
        <v>0</v>
      </c>
      <c r="G88" s="116">
        <f>SUM('8. General Startup Costs'!$F$33:$F$44)+(IF(OR('9. Medicaid Admin Costs'!$F$5="Apply to ICM Tab 5",'9. Medicaid Admin Costs'!$F$5="Apply to All"),SUMIF('9. Medicaid Admin Costs'!$D$29:$D$40,"Start Up",'9. Medicaid Admin Costs'!$I$29:$I$40),0))</f>
        <v>0</v>
      </c>
      <c r="H88"/>
      <c r="I88" s="472">
        <f t="shared" si="17"/>
        <v>0</v>
      </c>
      <c r="J88" s="270">
        <f t="shared" si="18"/>
        <v>0</v>
      </c>
      <c r="K88" s="270">
        <f t="shared" si="19"/>
        <v>0</v>
      </c>
      <c r="L88" s="463">
        <f t="shared" si="4"/>
        <v>0</v>
      </c>
      <c r="M88"/>
      <c r="N88"/>
      <c r="O88"/>
      <c r="P88"/>
      <c r="Q88"/>
      <c r="R88"/>
    </row>
    <row r="89" spans="3:18" ht="47.25">
      <c r="C89" s="94" t="s">
        <v>73</v>
      </c>
      <c r="D89" s="43">
        <v>0</v>
      </c>
      <c r="E89" s="467"/>
      <c r="F89" s="471">
        <f t="shared" si="16"/>
        <v>0</v>
      </c>
      <c r="G89" s="116">
        <f>'8. General Startup Costs'!$F$45</f>
        <v>0</v>
      </c>
      <c r="H89"/>
      <c r="I89" s="472">
        <f t="shared" si="17"/>
        <v>0</v>
      </c>
      <c r="J89" s="270">
        <f t="shared" si="18"/>
        <v>0</v>
      </c>
      <c r="K89" s="270">
        <f t="shared" si="19"/>
        <v>0</v>
      </c>
      <c r="L89" s="463">
        <f t="shared" si="4"/>
        <v>0</v>
      </c>
      <c r="M89"/>
      <c r="N89"/>
      <c r="O89"/>
      <c r="P89"/>
      <c r="Q89"/>
      <c r="R89"/>
    </row>
    <row r="90" spans="3:18">
      <c r="C90" s="94" t="s">
        <v>74</v>
      </c>
      <c r="D90" s="43">
        <v>0</v>
      </c>
      <c r="E90" s="467"/>
      <c r="F90" s="471">
        <f t="shared" si="16"/>
        <v>0</v>
      </c>
      <c r="G90" s="114"/>
      <c r="H90"/>
      <c r="I90" s="472">
        <f t="shared" si="17"/>
        <v>0</v>
      </c>
      <c r="J90" s="270">
        <f t="shared" si="18"/>
        <v>0</v>
      </c>
      <c r="K90" s="270">
        <f t="shared" si="19"/>
        <v>0</v>
      </c>
      <c r="L90" s="463">
        <f t="shared" si="4"/>
        <v>0</v>
      </c>
      <c r="M90"/>
      <c r="N90"/>
      <c r="O90"/>
      <c r="P90"/>
      <c r="Q90"/>
      <c r="R90"/>
    </row>
    <row r="91" spans="3:18">
      <c r="C91" s="94" t="s">
        <v>75</v>
      </c>
      <c r="D91" s="43">
        <v>0</v>
      </c>
      <c r="E91" s="467"/>
      <c r="F91" s="471">
        <f t="shared" si="16"/>
        <v>0</v>
      </c>
      <c r="G91" s="114"/>
      <c r="H91"/>
      <c r="I91" s="472">
        <f t="shared" si="17"/>
        <v>0</v>
      </c>
      <c r="J91" s="270">
        <f t="shared" si="18"/>
        <v>0</v>
      </c>
      <c r="K91" s="270">
        <f t="shared" si="19"/>
        <v>0</v>
      </c>
      <c r="L91" s="463">
        <f t="shared" si="4"/>
        <v>0</v>
      </c>
      <c r="M91"/>
      <c r="N91"/>
      <c r="O91"/>
      <c r="P91"/>
      <c r="Q91"/>
      <c r="R91"/>
    </row>
    <row r="92" spans="3:18" ht="38.25" customHeight="1">
      <c r="C92" s="94" t="s">
        <v>76</v>
      </c>
      <c r="D92" s="43">
        <v>0</v>
      </c>
      <c r="E92" s="205">
        <f>IF(OR('9. Medicaid Admin Costs'!$F$5="Apply to ICM Tab 5",'9. Medicaid Admin Costs'!$F$5="Apply to All"),(SUMIF('9. Medicaid Admin Costs'!$D$41:$D$48,"Ongoing - Annually",'9. Medicaid Admin Costs'!$I$41:$I$48)+SUMIF('9. Medicaid Admin Costs'!$D$41:$D$48,"Ongoing - Monthly",'9. Medicaid Admin Costs'!$I$41:$I$48)+SUMIF('9. Medicaid Admin Costs'!$D$41:$D$48,"Ongoing - Quarterly",'9. Medicaid Admin Costs'!$I$41:$I$48)),0)</f>
        <v>0</v>
      </c>
      <c r="F92" s="471">
        <f t="shared" si="16"/>
        <v>0</v>
      </c>
      <c r="G92" s="116">
        <f>SUM('8. General Startup Costs'!$F$47:$F$50)+(IF(OR('9. Medicaid Admin Costs'!$F$5="Apply to ICM Tab 5",'9. Medicaid Admin Costs'!$F$5="Apply to All"),SUMIF('9. Medicaid Admin Costs'!$D$41:$D$48,"Start Up",'9. Medicaid Admin Costs'!$I$41:$I$48),0))</f>
        <v>0</v>
      </c>
      <c r="H92"/>
      <c r="I92" s="472">
        <f t="shared" si="17"/>
        <v>0</v>
      </c>
      <c r="J92" s="270">
        <f t="shared" si="18"/>
        <v>0</v>
      </c>
      <c r="K92" s="270">
        <f t="shared" si="19"/>
        <v>0</v>
      </c>
      <c r="L92" s="463">
        <f t="shared" si="4"/>
        <v>0</v>
      </c>
      <c r="M92"/>
      <c r="N92"/>
      <c r="O92"/>
      <c r="P92"/>
      <c r="Q92"/>
      <c r="R92"/>
    </row>
    <row r="93" spans="3:18">
      <c r="C93" s="96" t="s">
        <v>77</v>
      </c>
      <c r="D93" s="269">
        <v>0</v>
      </c>
      <c r="E93" s="483"/>
      <c r="F93" s="471">
        <f t="shared" si="16"/>
        <v>0</v>
      </c>
      <c r="G93" s="202"/>
      <c r="H93"/>
      <c r="I93" s="472">
        <f t="shared" si="17"/>
        <v>0</v>
      </c>
      <c r="J93" s="270">
        <f t="shared" si="18"/>
        <v>0</v>
      </c>
      <c r="K93" s="270">
        <f t="shared" si="19"/>
        <v>0</v>
      </c>
      <c r="L93" s="463">
        <f t="shared" si="4"/>
        <v>0</v>
      </c>
      <c r="M93"/>
      <c r="N93"/>
      <c r="O93"/>
      <c r="P93"/>
      <c r="Q93"/>
      <c r="R93"/>
    </row>
    <row r="94" spans="3:18">
      <c r="C94" s="106" t="s">
        <v>339</v>
      </c>
      <c r="D94" s="210">
        <v>0</v>
      </c>
      <c r="E94" s="484"/>
      <c r="F94" s="485">
        <f t="shared" si="16"/>
        <v>0</v>
      </c>
      <c r="G94" s="196"/>
      <c r="H94"/>
      <c r="I94" s="472">
        <f t="shared" si="17"/>
        <v>0</v>
      </c>
      <c r="J94" s="91">
        <f t="shared" si="18"/>
        <v>0</v>
      </c>
      <c r="K94" s="91">
        <f t="shared" si="19"/>
        <v>0</v>
      </c>
      <c r="L94" s="486">
        <f t="shared" si="4"/>
        <v>0</v>
      </c>
      <c r="M94"/>
      <c r="N94"/>
      <c r="O94"/>
      <c r="P94"/>
      <c r="Q94"/>
      <c r="R94"/>
    </row>
    <row r="95" spans="3:18" ht="22.5" customHeight="1">
      <c r="C95" s="107" t="s">
        <v>78</v>
      </c>
      <c r="D95" s="261">
        <f>SUM(D72:D79)+SUM(D83:D94)</f>
        <v>0</v>
      </c>
      <c r="E95" s="487">
        <f>SUM(E72:E79)+SUM(E83:E94)</f>
        <v>0</v>
      </c>
      <c r="F95" s="261">
        <f>SUM(F72:F79)+SUM(F83:F94)</f>
        <v>0</v>
      </c>
      <c r="G95" s="115">
        <f>SUM(G72:G79)+SUM(G83:G94)</f>
        <v>0</v>
      </c>
      <c r="H95"/>
      <c r="I95" s="187">
        <f>SUM(I72:I79)+SUM(I83:I94)</f>
        <v>0</v>
      </c>
      <c r="J95" s="261">
        <f>SUM(J72:J79)+SUM(J83:J94)</f>
        <v>0</v>
      </c>
      <c r="K95" s="261">
        <f>SUM(K72:K79)+SUM(K83:K94)</f>
        <v>0</v>
      </c>
      <c r="L95" s="115">
        <f>SUM(L72:L79)+SUM(L83:L94)</f>
        <v>0</v>
      </c>
      <c r="M95"/>
      <c r="N95"/>
      <c r="O95"/>
      <c r="P95"/>
      <c r="Q95"/>
      <c r="R95"/>
    </row>
    <row r="96" spans="3:18">
      <c r="C96" s="100"/>
      <c r="D96" s="263"/>
      <c r="E96" s="467"/>
      <c r="F96" s="263"/>
      <c r="G96" s="114"/>
      <c r="H96"/>
      <c r="I96" s="468"/>
      <c r="J96" s="263"/>
      <c r="K96" s="263"/>
      <c r="L96" s="114"/>
      <c r="M96"/>
      <c r="N96"/>
      <c r="O96"/>
      <c r="P96"/>
      <c r="Q96"/>
      <c r="R96"/>
    </row>
    <row r="97" spans="3:18">
      <c r="C97" s="102" t="s">
        <v>79</v>
      </c>
      <c r="D97" s="262">
        <f>D69+D95</f>
        <v>0</v>
      </c>
      <c r="E97" s="205">
        <f>SUM(E69,E95)</f>
        <v>52800</v>
      </c>
      <c r="F97" s="262">
        <f>F69+F95</f>
        <v>52800</v>
      </c>
      <c r="G97" s="116">
        <f ca="1">SUM(G69,G95)</f>
        <v>0</v>
      </c>
      <c r="H97"/>
      <c r="I97" s="488">
        <f ca="1">I69+I95</f>
        <v>52800</v>
      </c>
      <c r="J97" s="262">
        <f ca="1">J69+J95</f>
        <v>56760</v>
      </c>
      <c r="K97" s="262">
        <f ca="1">K69+K95</f>
        <v>61017</v>
      </c>
      <c r="L97" s="116">
        <f ca="1">I97+J97+K97</f>
        <v>170577</v>
      </c>
      <c r="M97"/>
      <c r="N97"/>
      <c r="O97"/>
      <c r="P97"/>
      <c r="Q97"/>
      <c r="R97"/>
    </row>
    <row r="98" spans="3:18" ht="16.5" thickBot="1">
      <c r="C98" s="102" t="s">
        <v>80</v>
      </c>
      <c r="D98" s="262">
        <f>D97*'3. Basic Input &amp; Assumptions'!K15</f>
        <v>0</v>
      </c>
      <c r="E98" s="205">
        <f>E97*'3. Basic Input &amp; Assumptions'!$K$15</f>
        <v>7920</v>
      </c>
      <c r="F98" s="599">
        <f>F97*'3. Basic Input &amp; Assumptions'!$K$15</f>
        <v>7920</v>
      </c>
      <c r="G98" s="116">
        <f ca="1">G97*'3. Basic Input &amp; Assumptions'!$K$15</f>
        <v>0</v>
      </c>
      <c r="H98"/>
      <c r="I98" s="488">
        <f ca="1">I97*'3. Basic Input &amp; Assumptions'!$K$15</f>
        <v>7920</v>
      </c>
      <c r="J98" s="262">
        <f ca="1">J97*'3. Basic Input &amp; Assumptions'!$K$15</f>
        <v>8514</v>
      </c>
      <c r="K98" s="262">
        <f ca="1">K97*'3. Basic Input &amp; Assumptions'!$K$15</f>
        <v>9152.5499999999993</v>
      </c>
      <c r="L98" s="116">
        <f ca="1">I98+J98+K98</f>
        <v>25586.55</v>
      </c>
      <c r="M98"/>
      <c r="N98"/>
      <c r="O98"/>
      <c r="P98"/>
      <c r="Q98"/>
      <c r="R98"/>
    </row>
    <row r="99" spans="3:18" ht="16.5" thickBot="1">
      <c r="C99" s="93" t="s">
        <v>81</v>
      </c>
      <c r="D99" s="261">
        <f>D97+D98</f>
        <v>0</v>
      </c>
      <c r="E99" s="460">
        <f>SUM(E97:E98)</f>
        <v>60720</v>
      </c>
      <c r="F99" s="603">
        <f>F97+F98</f>
        <v>60720</v>
      </c>
      <c r="G99" s="115">
        <f ca="1">SUM(G97:G98)</f>
        <v>0</v>
      </c>
      <c r="H99"/>
      <c r="I99" s="461">
        <f ca="1">I97+I98</f>
        <v>60720</v>
      </c>
      <c r="J99" s="261">
        <f ca="1">J97+J98</f>
        <v>65274</v>
      </c>
      <c r="K99" s="261">
        <f ca="1">K97+K98</f>
        <v>70169.55</v>
      </c>
      <c r="L99" s="115">
        <f ca="1">I99+J99+K99</f>
        <v>196163.55</v>
      </c>
      <c r="M99"/>
      <c r="N99"/>
      <c r="O99"/>
      <c r="P99"/>
      <c r="Q99"/>
      <c r="R99"/>
    </row>
    <row r="100" spans="3:18">
      <c r="C100" s="108"/>
      <c r="D100" s="263"/>
      <c r="E100" s="467"/>
      <c r="F100" s="600"/>
      <c r="G100" s="114"/>
      <c r="H100"/>
      <c r="I100" s="468"/>
      <c r="J100" s="263"/>
      <c r="K100" s="263"/>
      <c r="L100" s="114"/>
      <c r="M100"/>
      <c r="N100"/>
      <c r="O100"/>
      <c r="P100"/>
      <c r="Q100"/>
      <c r="R100"/>
    </row>
    <row r="101" spans="3:18" ht="16.5" thickBot="1">
      <c r="C101" s="120" t="s">
        <v>82</v>
      </c>
      <c r="D101" s="264"/>
      <c r="E101" s="469"/>
      <c r="F101" s="264"/>
      <c r="G101" s="118"/>
      <c r="H101"/>
      <c r="I101" s="470"/>
      <c r="J101" s="264"/>
      <c r="K101" s="264"/>
      <c r="L101" s="118"/>
      <c r="M101"/>
      <c r="N101"/>
      <c r="O101"/>
      <c r="P101"/>
      <c r="Q101"/>
      <c r="R101"/>
    </row>
    <row r="102" spans="3:18" ht="18" customHeight="1" thickTop="1">
      <c r="C102" s="119" t="s">
        <v>83</v>
      </c>
      <c r="D102" s="204">
        <v>0</v>
      </c>
      <c r="E102" s="207"/>
      <c r="F102" s="262">
        <f t="shared" ref="F102:F108" si="20">D102</f>
        <v>0</v>
      </c>
      <c r="G102" s="190"/>
      <c r="H102"/>
      <c r="I102" s="488">
        <f>D102</f>
        <v>0</v>
      </c>
      <c r="J102" s="204">
        <f>I102</f>
        <v>0</v>
      </c>
      <c r="K102" s="204">
        <f>J102</f>
        <v>0</v>
      </c>
      <c r="L102" s="462">
        <f t="shared" ref="L102:L108" si="21">I102+J102+K102</f>
        <v>0</v>
      </c>
      <c r="M102"/>
      <c r="N102"/>
      <c r="O102"/>
      <c r="P102"/>
      <c r="Q102"/>
      <c r="R102"/>
    </row>
    <row r="103" spans="3:18">
      <c r="C103" s="94" t="s">
        <v>31</v>
      </c>
      <c r="D103" s="43">
        <v>0</v>
      </c>
      <c r="E103" s="467"/>
      <c r="F103" s="262">
        <f t="shared" si="20"/>
        <v>0</v>
      </c>
      <c r="G103" s="114"/>
      <c r="H103"/>
      <c r="I103" s="488">
        <f t="shared" ref="I103:I107" si="22">D103</f>
        <v>0</v>
      </c>
      <c r="J103" s="43">
        <f t="shared" ref="J103:K107" si="23">I103</f>
        <v>0</v>
      </c>
      <c r="K103" s="43">
        <f t="shared" si="23"/>
        <v>0</v>
      </c>
      <c r="L103" s="463">
        <f t="shared" si="21"/>
        <v>0</v>
      </c>
      <c r="M103"/>
      <c r="N103"/>
      <c r="O103"/>
      <c r="P103"/>
      <c r="Q103"/>
      <c r="R103"/>
    </row>
    <row r="104" spans="3:18">
      <c r="C104" s="94" t="s">
        <v>32</v>
      </c>
      <c r="D104" s="43">
        <v>0</v>
      </c>
      <c r="E104" s="467"/>
      <c r="F104" s="262">
        <f t="shared" si="20"/>
        <v>0</v>
      </c>
      <c r="G104" s="114"/>
      <c r="H104"/>
      <c r="I104" s="488">
        <f t="shared" si="22"/>
        <v>0</v>
      </c>
      <c r="J104" s="43">
        <f t="shared" si="23"/>
        <v>0</v>
      </c>
      <c r="K104" s="43">
        <f t="shared" si="23"/>
        <v>0</v>
      </c>
      <c r="L104" s="463">
        <f t="shared" si="21"/>
        <v>0</v>
      </c>
      <c r="M104"/>
      <c r="N104"/>
      <c r="O104"/>
      <c r="P104"/>
      <c r="Q104"/>
      <c r="R104"/>
    </row>
    <row r="105" spans="3:18">
      <c r="C105" s="94" t="s">
        <v>33</v>
      </c>
      <c r="D105" s="43">
        <v>0</v>
      </c>
      <c r="E105" s="467"/>
      <c r="F105" s="262">
        <f t="shared" si="20"/>
        <v>0</v>
      </c>
      <c r="G105" s="114"/>
      <c r="H105"/>
      <c r="I105" s="488">
        <f t="shared" si="22"/>
        <v>0</v>
      </c>
      <c r="J105" s="43">
        <f t="shared" si="23"/>
        <v>0</v>
      </c>
      <c r="K105" s="43">
        <f t="shared" si="23"/>
        <v>0</v>
      </c>
      <c r="L105" s="463">
        <f t="shared" si="21"/>
        <v>0</v>
      </c>
      <c r="M105"/>
      <c r="N105"/>
      <c r="O105"/>
      <c r="P105"/>
      <c r="Q105"/>
      <c r="R105"/>
    </row>
    <row r="106" spans="3:18">
      <c r="C106" s="94" t="s">
        <v>343</v>
      </c>
      <c r="D106" s="262">
        <f>IF(D54="15-minute increments",D32*D51*D56,IF(D54="Per diem",D32*D51*D56,IF(D54="Per member per month",(D18+F18)*D51*D56,0)))</f>
        <v>0</v>
      </c>
      <c r="E106" s="467"/>
      <c r="F106" s="262">
        <f t="shared" si="20"/>
        <v>0</v>
      </c>
      <c r="G106" s="114"/>
      <c r="H106"/>
      <c r="I106" s="488">
        <f t="shared" si="22"/>
        <v>0</v>
      </c>
      <c r="J106" s="489">
        <f t="shared" si="23"/>
        <v>0</v>
      </c>
      <c r="K106" s="489">
        <f t="shared" si="23"/>
        <v>0</v>
      </c>
      <c r="L106" s="463">
        <f t="shared" si="21"/>
        <v>0</v>
      </c>
      <c r="M106"/>
      <c r="N106"/>
      <c r="O106"/>
      <c r="P106"/>
      <c r="Q106"/>
      <c r="R106"/>
    </row>
    <row r="107" spans="3:18">
      <c r="C107" s="106" t="s">
        <v>35</v>
      </c>
      <c r="D107" s="210">
        <v>0</v>
      </c>
      <c r="E107" s="484"/>
      <c r="F107" s="485">
        <f t="shared" si="20"/>
        <v>0</v>
      </c>
      <c r="G107" s="196"/>
      <c r="H107"/>
      <c r="I107" s="517">
        <f t="shared" si="22"/>
        <v>0</v>
      </c>
      <c r="J107" s="210">
        <f t="shared" si="23"/>
        <v>0</v>
      </c>
      <c r="K107" s="210">
        <f t="shared" si="23"/>
        <v>0</v>
      </c>
      <c r="L107" s="486">
        <f t="shared" si="21"/>
        <v>0</v>
      </c>
      <c r="M107"/>
      <c r="N107"/>
      <c r="O107"/>
      <c r="P107"/>
      <c r="Q107"/>
      <c r="R107"/>
    </row>
    <row r="108" spans="3:18">
      <c r="C108" s="107" t="s">
        <v>84</v>
      </c>
      <c r="D108" s="261">
        <f>SUM(D102:D107)</f>
        <v>0</v>
      </c>
      <c r="E108" s="207"/>
      <c r="F108" s="261">
        <f t="shared" si="20"/>
        <v>0</v>
      </c>
      <c r="G108" s="190"/>
      <c r="H108"/>
      <c r="I108" s="187">
        <f>SUM(I102:I107)</f>
        <v>0</v>
      </c>
      <c r="J108" s="471">
        <f>SUM(J102:J107)</f>
        <v>0</v>
      </c>
      <c r="K108" s="471">
        <f>SUM(K102:K107)</f>
        <v>0</v>
      </c>
      <c r="L108" s="462">
        <f t="shared" si="21"/>
        <v>0</v>
      </c>
      <c r="M108"/>
      <c r="N108"/>
      <c r="O108"/>
      <c r="P108"/>
      <c r="Q108"/>
      <c r="R108"/>
    </row>
    <row r="109" spans="3:18" ht="16.5" thickBot="1">
      <c r="C109" s="109"/>
      <c r="D109" s="266"/>
      <c r="E109" s="491"/>
      <c r="F109" s="597"/>
      <c r="G109" s="117"/>
      <c r="H109"/>
      <c r="I109" s="492"/>
      <c r="J109" s="266"/>
      <c r="K109" s="266"/>
      <c r="L109" s="117"/>
      <c r="M109"/>
      <c r="N109"/>
      <c r="O109"/>
      <c r="P109"/>
      <c r="Q109"/>
      <c r="R109"/>
    </row>
    <row r="110" spans="3:18" ht="16.5" thickBot="1">
      <c r="C110" s="111" t="s">
        <v>85</v>
      </c>
      <c r="D110" s="267">
        <f>D108-D99</f>
        <v>0</v>
      </c>
      <c r="E110" s="596"/>
      <c r="F110" s="603">
        <f>F108-F99</f>
        <v>-60720</v>
      </c>
      <c r="G110" s="494"/>
      <c r="H110"/>
      <c r="I110" s="493">
        <f ca="1">I108-I99</f>
        <v>-60720</v>
      </c>
      <c r="J110" s="495">
        <f ca="1">J108-J99</f>
        <v>-65274</v>
      </c>
      <c r="K110" s="267">
        <f ca="1">K108-K99</f>
        <v>-70169.55</v>
      </c>
      <c r="L110" s="496">
        <f ca="1">L108-L99</f>
        <v>-196163.55</v>
      </c>
      <c r="M110"/>
      <c r="N110"/>
      <c r="O110"/>
      <c r="P110"/>
      <c r="Q110"/>
      <c r="R110"/>
    </row>
    <row r="111" spans="3:18" ht="16.5" thickBot="1">
      <c r="C111" s="49"/>
      <c r="F111"/>
      <c r="H111"/>
      <c r="I111" s="19"/>
      <c r="J111" s="19"/>
      <c r="K111" s="19"/>
      <c r="L111" s="19"/>
      <c r="M111"/>
      <c r="N111"/>
      <c r="O111"/>
      <c r="P111"/>
      <c r="Q111"/>
      <c r="R111"/>
    </row>
    <row r="112" spans="3:18" ht="16.5" thickBot="1">
      <c r="C112" s="733">
        <f>D106/(F99)</f>
        <v>0</v>
      </c>
      <c r="D112" s="734"/>
      <c r="F112"/>
      <c r="G112" s="19"/>
      <c r="H112" s="19"/>
      <c r="I112" s="268" t="s">
        <v>163</v>
      </c>
      <c r="J112" s="127">
        <f>'3. Basic Input &amp; Assumptions'!K19</f>
        <v>7.4999999999999997E-2</v>
      </c>
      <c r="K112" s="19"/>
      <c r="L112" s="19"/>
      <c r="M112"/>
      <c r="N112"/>
      <c r="O112"/>
      <c r="P112"/>
      <c r="Q112"/>
      <c r="R112"/>
    </row>
    <row r="113" spans="3:6" ht="18" customHeight="1">
      <c r="C113" s="721" t="s">
        <v>346</v>
      </c>
      <c r="D113" s="721"/>
      <c r="F113"/>
    </row>
    <row r="114" spans="3:6">
      <c r="C114" s="722"/>
      <c r="D114" s="722"/>
    </row>
    <row r="115" spans="3:6">
      <c r="C115" s="722"/>
      <c r="D115" s="722"/>
    </row>
  </sheetData>
  <sheetProtection algorithmName="SHA-512" hashValue="U+nJMSnjNLGtk5ExCX5iz5gK0y83m0kVQQ/V+aa/Twsj36SB0o+j1RlqgFvFNFtXJZn/HnYUXGUDOJe8Wz2T3A==" saltValue="Wyid+o6pB3VEoBfgT0seRw==" spinCount="100000" sheet="1" objects="1" scenarios="1"/>
  <mergeCells count="26">
    <mergeCell ref="C5:G5"/>
    <mergeCell ref="E23:F23"/>
    <mergeCell ref="F26:K26"/>
    <mergeCell ref="F27:K27"/>
    <mergeCell ref="G16:H16"/>
    <mergeCell ref="G18:H18"/>
    <mergeCell ref="G11:H11"/>
    <mergeCell ref="G12:H12"/>
    <mergeCell ref="G17:H17"/>
    <mergeCell ref="C9:D9"/>
    <mergeCell ref="E50:I50"/>
    <mergeCell ref="C113:D115"/>
    <mergeCell ref="G13:H13"/>
    <mergeCell ref="G15:H15"/>
    <mergeCell ref="F35:I35"/>
    <mergeCell ref="F36:I36"/>
    <mergeCell ref="F39:I39"/>
    <mergeCell ref="C20:G21"/>
    <mergeCell ref="G14:H14"/>
    <mergeCell ref="C112:D112"/>
    <mergeCell ref="C43:D43"/>
    <mergeCell ref="C53:D53"/>
    <mergeCell ref="E55:I55"/>
    <mergeCell ref="F32:K32"/>
    <mergeCell ref="C61:G61"/>
    <mergeCell ref="I61:L61"/>
  </mergeCells>
  <conditionalFormatting sqref="C112">
    <cfRule type="expression" dxfId="13" priority="2">
      <formula>$D$106&gt;0</formula>
    </cfRule>
  </conditionalFormatting>
  <conditionalFormatting sqref="E55">
    <cfRule type="expression" dxfId="12" priority="1">
      <formula>AND($D$55&lt;&gt;0,OR($D$54="15-minute increments",$D$54="Per diem",$D$54="Per member per month"))</formula>
    </cfRule>
  </conditionalFormatting>
  <dataValidations count="1">
    <dataValidation type="whole" allowBlank="1" showInputMessage="1" showErrorMessage="1" sqref="D12:D17 F12:F17" xr:uid="{2F1C3676-DA38-478F-9ECC-676934264E87}">
      <formula1>0</formula1>
      <formula2>100000</formula2>
    </dataValidation>
  </dataValidations>
  <pageMargins left="0.7" right="0.7" top="0.75" bottom="0.75" header="0.3" footer="0.3"/>
  <pageSetup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C3EF600E-528C-4AC9-AD0A-667D6FBF91D7}">
          <x14:formula1>
            <xm:f>'LISTS - DO NOT EDIT'!$A$7:$A$13</xm:f>
          </x14:formula1>
          <xm:sqref>C12:C17</xm:sqref>
        </x14:dataValidation>
        <x14:dataValidation type="list" allowBlank="1" showInputMessage="1" showErrorMessage="1" xr:uid="{F27ECBF6-178D-422D-836D-A9BC11DE2176}">
          <x14:formula1>
            <xm:f>'LISTS - DO NOT EDIT'!$A$20:$A$23</xm:f>
          </x14:formula1>
          <xm:sqref>D54</xm:sqref>
        </x14:dataValidation>
        <x14:dataValidation type="list" allowBlank="1" showInputMessage="1" showErrorMessage="1" xr:uid="{534CE9C4-3E55-4362-AD30-92A593072126}">
          <x14:formula1>
            <xm:f>'LISTS - DO NOT EDIT'!$E$1:$E$2</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0545E-49A7-4ED6-9C34-1D6FE8E00947}">
  <sheetPr>
    <tabColor theme="4"/>
  </sheetPr>
  <dimension ref="A1:V109"/>
  <sheetViews>
    <sheetView showGridLines="0" topLeftCell="A62" zoomScale="120" zoomScaleNormal="120" workbookViewId="0">
      <selection activeCell="D76" sqref="D76"/>
    </sheetView>
  </sheetViews>
  <sheetFormatPr defaultColWidth="9.140625" defaultRowHeight="15.75"/>
  <cols>
    <col min="1" max="2" width="2.85546875" style="19" customWidth="1"/>
    <col min="3" max="3" width="39" style="19" customWidth="1"/>
    <col min="4" max="4" width="28" style="19" customWidth="1"/>
    <col min="5" max="5" width="26.7109375" style="19" customWidth="1"/>
    <col min="6" max="6" width="27" style="21" customWidth="1"/>
    <col min="7" max="7" width="25.42578125" style="20" customWidth="1"/>
    <col min="8" max="8" width="1.5703125" style="20" customWidth="1"/>
    <col min="9" max="10" width="24.5703125" style="20" customWidth="1"/>
    <col min="11" max="11" width="24.5703125" style="19" customWidth="1"/>
    <col min="12" max="12" width="24.85546875" style="19" customWidth="1"/>
    <col min="13" max="13" width="21.7109375" style="19" customWidth="1"/>
    <col min="14" max="14" width="9.140625" style="19" customWidth="1"/>
    <col min="15" max="15" width="24.28515625" style="19" customWidth="1"/>
    <col min="16" max="16" width="21.7109375" style="19" customWidth="1"/>
    <col min="17" max="17" width="17" style="19" customWidth="1"/>
    <col min="18" max="18" width="19.7109375" style="19" customWidth="1"/>
    <col min="19" max="16384" width="9.140625" style="19"/>
  </cols>
  <sheetData>
    <row r="1" spans="1:18" s="18" customFormat="1">
      <c r="B1" s="16"/>
      <c r="C1" s="17"/>
      <c r="D1" s="17"/>
    </row>
    <row r="2" spans="1:18" ht="23.25">
      <c r="A2" s="592" t="s">
        <v>175</v>
      </c>
      <c r="B2" s="219"/>
      <c r="C2" s="271"/>
      <c r="D2" s="219"/>
      <c r="E2" s="24"/>
      <c r="F2" s="25"/>
      <c r="G2" s="283"/>
      <c r="H2" s="283"/>
      <c r="I2" s="283"/>
      <c r="J2" s="283"/>
    </row>
    <row r="3" spans="1:18" ht="25.5" customHeight="1"/>
    <row r="4" spans="1:18">
      <c r="C4" s="63" t="s">
        <v>176</v>
      </c>
    </row>
    <row r="5" spans="1:18" ht="175.5" customHeight="1">
      <c r="C5" s="651" t="s">
        <v>422</v>
      </c>
      <c r="D5" s="651"/>
      <c r="E5" s="651"/>
      <c r="F5" s="651"/>
      <c r="G5" s="651"/>
      <c r="H5" s="54"/>
      <c r="I5" s="767"/>
      <c r="J5" s="767"/>
    </row>
    <row r="6" spans="1:18" ht="18.75">
      <c r="C6" s="203"/>
      <c r="D6" s="203"/>
      <c r="E6" s="203"/>
      <c r="F6" s="203"/>
      <c r="G6" s="203"/>
      <c r="H6" s="284"/>
      <c r="I6" s="285"/>
      <c r="J6" s="285"/>
    </row>
    <row r="7" spans="1:18">
      <c r="C7" s="63" t="s">
        <v>381</v>
      </c>
      <c r="O7" s="223"/>
    </row>
    <row r="8" spans="1:18" ht="6" customHeight="1">
      <c r="K8" s="169" t="s">
        <v>177</v>
      </c>
    </row>
    <row r="9" spans="1:18" ht="32.25" customHeight="1">
      <c r="C9" s="675" t="s">
        <v>383</v>
      </c>
      <c r="D9" s="675"/>
      <c r="E9" s="62" t="s">
        <v>97</v>
      </c>
      <c r="F9" s="19"/>
      <c r="G9" s="19"/>
      <c r="H9" s="19"/>
      <c r="J9" s="19"/>
      <c r="L9"/>
      <c r="M9"/>
      <c r="N9"/>
      <c r="O9"/>
      <c r="P9"/>
      <c r="Q9"/>
      <c r="R9"/>
    </row>
    <row r="10" spans="1:18" ht="6.75" customHeight="1">
      <c r="C10" s="49"/>
      <c r="F10" s="19"/>
      <c r="G10" s="19"/>
      <c r="H10" s="19"/>
      <c r="J10" s="19"/>
      <c r="L10"/>
      <c r="M10"/>
      <c r="N10"/>
      <c r="O10"/>
      <c r="P10"/>
      <c r="Q10"/>
      <c r="R10"/>
    </row>
    <row r="11" spans="1:18" ht="16.5" customHeight="1">
      <c r="C11" s="220" t="s">
        <v>167</v>
      </c>
      <c r="D11" s="286" t="s">
        <v>378</v>
      </c>
      <c r="E11" s="287" t="s">
        <v>178</v>
      </c>
      <c r="F11" s="286" t="s">
        <v>379</v>
      </c>
      <c r="G11" s="768" t="s">
        <v>178</v>
      </c>
      <c r="H11" s="768"/>
      <c r="I11" s="288"/>
      <c r="J11" s="288"/>
      <c r="K11" s="222" t="s">
        <v>179</v>
      </c>
      <c r="L11" s="223"/>
    </row>
    <row r="12" spans="1:18">
      <c r="B12" s="224">
        <v>1</v>
      </c>
      <c r="C12" s="4" t="s">
        <v>180</v>
      </c>
      <c r="D12" s="5"/>
      <c r="E12" s="273" t="str">
        <f>IF(OR(C12="",C12="Select"),"",IF($E$9="No",VLOOKUP(C12,'3. Basic Input &amp; Assumptions'!$C$38:$I$43,6,FALSE),VLOOKUP(C12,'3. Basic Input &amp; Assumptions'!$C$38:$I$43,4,FALSE)))</f>
        <v/>
      </c>
      <c r="F12" s="5"/>
      <c r="G12" s="746" t="str">
        <f>IF(OR(C12="",C12="Select"),"",IF($E$9="No",VLOOKUP(C12,'3. Basic Input &amp; Assumptions'!$C$38:$I$43,7,FALSE),VLOOKUP(C12,'3. Basic Input &amp; Assumptions'!$C$38:$I$43,5,FALSE)))</f>
        <v/>
      </c>
      <c r="H12" s="746"/>
      <c r="I12" s="289"/>
      <c r="J12" s="289"/>
      <c r="K12" s="225">
        <f>IF(E12="",0,SUM(IF(D12&gt;0,D12/E12,0),IF(F12&gt;0,F12/G12,0)))</f>
        <v>0</v>
      </c>
      <c r="L12" s="223"/>
    </row>
    <row r="13" spans="1:18">
      <c r="B13" s="224">
        <v>2</v>
      </c>
      <c r="C13" s="4" t="s">
        <v>180</v>
      </c>
      <c r="D13" s="5"/>
      <c r="E13" s="273" t="str">
        <f>IF(OR(C13="",C13="Select"),"",IF($E$9="No",VLOOKUP(C13,'3. Basic Input &amp; Assumptions'!$C$38:$I$43,6,FALSE),VLOOKUP(C13,'3. Basic Input &amp; Assumptions'!$C$38:$I$43,4,FALSE)))</f>
        <v/>
      </c>
      <c r="F13" s="5"/>
      <c r="G13" s="746" t="str">
        <f>IF(OR(C13="",C13="Select"),"",IF($E$9="No",VLOOKUP(C13,'3. Basic Input &amp; Assumptions'!$C$38:$I$43,7,FALSE),VLOOKUP(C13,'3. Basic Input &amp; Assumptions'!$C$38:$I$43,5,FALSE)))</f>
        <v/>
      </c>
      <c r="H13" s="746"/>
      <c r="I13" s="289"/>
      <c r="J13" s="289"/>
      <c r="K13" s="225">
        <f>IF(E13="",0,SUM(IF(D13&gt;0,D13/E13,0),IF(F13&gt;0,F13/G13,0)))</f>
        <v>0</v>
      </c>
      <c r="L13" s="223"/>
    </row>
    <row r="14" spans="1:18">
      <c r="B14" s="224">
        <v>3</v>
      </c>
      <c r="C14" s="4" t="s">
        <v>180</v>
      </c>
      <c r="D14" s="5"/>
      <c r="E14" s="273" t="str">
        <f>IF(OR(C14="",C14="Select"),"",IF($E$9="No",VLOOKUP(C14,'3. Basic Input &amp; Assumptions'!$C$38:$I$43,6,FALSE),VLOOKUP(C14,'3. Basic Input &amp; Assumptions'!$C$38:$I$43,4,FALSE)))</f>
        <v/>
      </c>
      <c r="F14" s="5"/>
      <c r="G14" s="746" t="str">
        <f>IF(OR(C14="",C14="Select"),"",IF($E$9="No",VLOOKUP(C14,'3. Basic Input &amp; Assumptions'!$C$38:$I$43,7,FALSE),VLOOKUP(C14,'3. Basic Input &amp; Assumptions'!$C$38:$I$43,5,FALSE)))</f>
        <v/>
      </c>
      <c r="H14" s="746"/>
      <c r="I14" s="289"/>
      <c r="J14" s="289"/>
      <c r="K14" s="225">
        <f>IF(E14="",0,SUM(IF(D14&gt;0,D14/E14,0),IF(F14&gt;0,F14/G14,0)))</f>
        <v>0</v>
      </c>
      <c r="L14" s="223"/>
    </row>
    <row r="15" spans="1:18">
      <c r="B15" s="274">
        <v>4</v>
      </c>
      <c r="C15" s="4" t="s">
        <v>180</v>
      </c>
      <c r="D15" s="5"/>
      <c r="E15" s="273" t="str">
        <f>IF(OR(C15="",C15="Select"),"",IF($E$9="No",VLOOKUP(C15,'3. Basic Input &amp; Assumptions'!$C$38:$I$43,6,FALSE),VLOOKUP(C15,'3. Basic Input &amp; Assumptions'!$C$38:$I$43,4,FALSE)))</f>
        <v/>
      </c>
      <c r="F15" s="5"/>
      <c r="G15" s="746" t="str">
        <f>IF(OR(C15="",C15="Select"),"",IF($E$9="No",VLOOKUP(C15,'3. Basic Input &amp; Assumptions'!$C$38:$I$43,7,FALSE),VLOOKUP(C15,'3. Basic Input &amp; Assumptions'!$C$38:$I$43,5,FALSE)))</f>
        <v/>
      </c>
      <c r="H15" s="746"/>
      <c r="I15" s="289"/>
      <c r="J15" s="289"/>
      <c r="K15" s="225">
        <f>IF(E15="",0,SUM(IF(D15&gt;0,D15/E15,0),IF(F15&gt;0,F15/G15,0)))</f>
        <v>0</v>
      </c>
      <c r="L15" s="223"/>
    </row>
    <row r="16" spans="1:18">
      <c r="B16" s="274">
        <v>5</v>
      </c>
      <c r="C16" s="6" t="s">
        <v>180</v>
      </c>
      <c r="D16" s="137"/>
      <c r="E16" s="273" t="str">
        <f>IF(OR(C16="",C16="Select"),"",IF($E$9="No",VLOOKUP(C16,'3. Basic Input &amp; Assumptions'!$C$38:$I$43,6,FALSE),VLOOKUP(C16,'3. Basic Input &amp; Assumptions'!$C$38:$I$43,4,FALSE)))</f>
        <v/>
      </c>
      <c r="F16" s="15"/>
      <c r="G16" s="746" t="str">
        <f>IF(OR(C16="",C16="Select"),"",IF($E$9="No",VLOOKUP(C16,'3. Basic Input &amp; Assumptions'!$C$38:$I$43,7,FALSE),VLOOKUP(C16,'3. Basic Input &amp; Assumptions'!$C$38:$I$43,5,FALSE)))</f>
        <v/>
      </c>
      <c r="H16" s="746"/>
      <c r="I16" s="289"/>
      <c r="J16" s="289"/>
      <c r="K16" s="225">
        <f>IF(E16="",0,SUM(IF(D16&gt;0,D16/E16,0),IF(F16&gt;0,F16/G16,0)))</f>
        <v>0</v>
      </c>
      <c r="L16" s="223"/>
    </row>
    <row r="17" spans="2:22" ht="16.5" thickBot="1">
      <c r="B17" s="616">
        <v>6</v>
      </c>
      <c r="C17" s="621" t="s">
        <v>180</v>
      </c>
      <c r="D17" s="137"/>
      <c r="E17" s="273" t="str">
        <f>IF(OR(C17="",C17="Select"),"",IF($E$9="No",VLOOKUP(C17,'3. Basic Input &amp; Assumptions'!$C$38:$I$43,6,FALSE),VLOOKUP(C17,'3. Basic Input &amp; Assumptions'!$C$38:$I$43,4,FALSE)))</f>
        <v/>
      </c>
      <c r="F17" s="15"/>
      <c r="G17" s="746" t="str">
        <f>IF(OR(C17="",C17="Select"),"",IF($E$9="No",VLOOKUP(C17,'3. Basic Input &amp; Assumptions'!$C$38:$I$43,7,FALSE),VLOOKUP(C17,'3. Basic Input &amp; Assumptions'!$C$38:$I$43,5,FALSE)))</f>
        <v/>
      </c>
      <c r="H17" s="746"/>
      <c r="I17" s="289"/>
      <c r="J17" s="289"/>
      <c r="K17" s="225"/>
      <c r="L17" s="223"/>
    </row>
    <row r="18" spans="2:22" ht="16.5" thickBot="1">
      <c r="C18" s="275" t="s">
        <v>133</v>
      </c>
      <c r="D18" s="276">
        <f>SUMIF(C12:C16,"&lt;&gt;Select",D12:D17)</f>
        <v>0</v>
      </c>
      <c r="E18" s="277"/>
      <c r="F18" s="278">
        <f>SUMIF(C12:C16,"&lt;&gt;Select",F12:F17)</f>
        <v>0</v>
      </c>
      <c r="G18" s="759"/>
      <c r="H18" s="760"/>
      <c r="I18" s="279"/>
      <c r="J18" s="279"/>
      <c r="K18" s="169"/>
      <c r="L18" s="223"/>
    </row>
    <row r="19" spans="2:22">
      <c r="I19" s="272"/>
      <c r="J19" s="272"/>
      <c r="K19" s="223"/>
      <c r="L19" s="223"/>
    </row>
    <row r="20" spans="2:22">
      <c r="I20" s="272"/>
      <c r="J20" s="272"/>
      <c r="K20" s="223"/>
      <c r="L20" s="223"/>
      <c r="O20" s="223"/>
      <c r="S20" s="63"/>
      <c r="T20" s="63"/>
      <c r="U20" s="63"/>
      <c r="V20" s="63"/>
    </row>
    <row r="21" spans="2:22" ht="27.75" customHeight="1">
      <c r="C21" s="769" t="s">
        <v>405</v>
      </c>
      <c r="D21" s="769"/>
      <c r="E21" s="769"/>
      <c r="F21" s="290"/>
      <c r="G21" s="290"/>
      <c r="H21" s="290"/>
      <c r="I21" s="291"/>
      <c r="J21" s="291"/>
      <c r="K21" s="223"/>
      <c r="L21" s="223"/>
    </row>
    <row r="22" spans="2:22">
      <c r="C22" s="601" t="s">
        <v>399</v>
      </c>
      <c r="D22" s="501" t="s">
        <v>134</v>
      </c>
      <c r="E22" s="501" t="s">
        <v>135</v>
      </c>
      <c r="F22" s="290"/>
      <c r="G22" s="290"/>
      <c r="H22" s="290"/>
      <c r="I22" s="291"/>
      <c r="J22" s="291"/>
      <c r="K22" s="223"/>
      <c r="L22" s="223"/>
    </row>
    <row r="23" spans="2:22">
      <c r="C23" s="218" t="s">
        <v>409</v>
      </c>
      <c r="D23" s="122"/>
      <c r="E23" s="7">
        <v>40000</v>
      </c>
      <c r="F23" s="765">
        <f>ROUNDUP(SUM(K12:K16),0)</f>
        <v>0</v>
      </c>
      <c r="G23" s="766"/>
      <c r="H23" s="766"/>
      <c r="I23" s="293"/>
      <c r="J23" s="293"/>
      <c r="K23" s="293"/>
    </row>
    <row r="24" spans="2:22">
      <c r="C24" s="280" t="s">
        <v>138</v>
      </c>
      <c r="D24" s="122"/>
      <c r="E24" s="124">
        <v>40000</v>
      </c>
      <c r="F24" s="765">
        <f>ROUNDUP(((D18+F18)/25),0)</f>
        <v>0</v>
      </c>
      <c r="G24" s="766"/>
      <c r="H24" s="766"/>
      <c r="I24" s="293"/>
      <c r="J24" s="293"/>
      <c r="K24" s="293"/>
    </row>
    <row r="25" spans="2:22">
      <c r="C25" s="294" t="s">
        <v>140</v>
      </c>
      <c r="D25" s="593">
        <f>D23+D24</f>
        <v>0</v>
      </c>
      <c r="E25" s="290"/>
      <c r="F25" s="636"/>
      <c r="G25" s="636"/>
      <c r="H25" s="636"/>
      <c r="I25" s="295"/>
      <c r="J25" s="295"/>
      <c r="K25" s="296"/>
      <c r="L25" s="223"/>
      <c r="O25" s="223"/>
    </row>
    <row r="26" spans="2:22" ht="5.25" customHeight="1">
      <c r="C26" s="292"/>
      <c r="D26" s="297"/>
      <c r="E26" s="290"/>
      <c r="F26" s="636"/>
      <c r="G26" s="636"/>
      <c r="H26" s="636"/>
      <c r="I26" s="295"/>
      <c r="J26" s="295"/>
      <c r="K26" s="296"/>
      <c r="L26" s="223"/>
      <c r="O26" s="223"/>
    </row>
    <row r="27" spans="2:22">
      <c r="C27" s="220" t="s">
        <v>377</v>
      </c>
      <c r="F27" s="637"/>
      <c r="G27" s="638"/>
      <c r="H27" s="638"/>
      <c r="I27" s="298"/>
      <c r="J27" s="298"/>
      <c r="K27"/>
      <c r="L27" s="68"/>
    </row>
    <row r="28" spans="2:22">
      <c r="C28" s="280" t="s">
        <v>141</v>
      </c>
      <c r="D28" s="122"/>
      <c r="E28" s="7">
        <v>65000</v>
      </c>
      <c r="F28" s="765">
        <f>ROUNDUP((D23/50),0)</f>
        <v>0</v>
      </c>
      <c r="G28" s="766"/>
      <c r="H28" s="766"/>
      <c r="I28" s="293"/>
      <c r="J28" s="293"/>
      <c r="K28" s="293"/>
    </row>
    <row r="29" spans="2:22">
      <c r="C29" s="280" t="s">
        <v>142</v>
      </c>
      <c r="D29" s="122"/>
      <c r="E29" s="7">
        <v>36000</v>
      </c>
      <c r="F29" s="765">
        <f>ROUNDUP(D23/15,0)</f>
        <v>0</v>
      </c>
      <c r="G29" s="766"/>
      <c r="H29" s="766"/>
      <c r="I29" s="293"/>
      <c r="J29" s="293"/>
      <c r="K29" s="293"/>
    </row>
    <row r="30" spans="2:22">
      <c r="C30" s="218" t="s">
        <v>181</v>
      </c>
      <c r="D30" s="122"/>
      <c r="E30" s="7">
        <v>50000</v>
      </c>
      <c r="F30" s="639"/>
      <c r="G30" s="638"/>
      <c r="H30" s="638"/>
      <c r="I30" s="299"/>
      <c r="J30" s="299"/>
      <c r="K30" s="296"/>
      <c r="M30" s="65"/>
      <c r="N30" s="65"/>
    </row>
    <row r="31" spans="2:22">
      <c r="C31" s="280" t="s">
        <v>174</v>
      </c>
      <c r="D31" s="122"/>
      <c r="E31" s="124">
        <v>45000</v>
      </c>
      <c r="F31" s="765">
        <f>ROUNDUP(D23/'3. Basic Input &amp; Assumptions'!F52,0)</f>
        <v>0</v>
      </c>
      <c r="G31" s="766"/>
      <c r="H31" s="766"/>
      <c r="I31" s="293"/>
      <c r="J31" s="293"/>
      <c r="K31" s="293"/>
    </row>
    <row r="32" spans="2:22">
      <c r="C32" s="282" t="s">
        <v>145</v>
      </c>
      <c r="D32" s="516">
        <f>D25+SUM(D28:D31)</f>
        <v>0</v>
      </c>
      <c r="E32" s="281"/>
      <c r="F32" s="640"/>
      <c r="G32" s="640"/>
      <c r="H32" s="640"/>
      <c r="I32" s="300"/>
      <c r="J32" s="300"/>
      <c r="K32" s="300"/>
    </row>
    <row r="33" spans="2:18" customFormat="1" ht="15"/>
    <row r="34" spans="2:18" ht="16.5" thickBot="1">
      <c r="C34" s="49"/>
      <c r="D34" s="229"/>
      <c r="E34" s="229"/>
      <c r="F34" s="228"/>
      <c r="G34" s="228"/>
      <c r="H34" s="229"/>
      <c r="I34" s="227"/>
      <c r="J34"/>
      <c r="K34"/>
      <c r="L34"/>
      <c r="M34"/>
      <c r="N34"/>
      <c r="O34"/>
      <c r="P34"/>
      <c r="Q34"/>
      <c r="R34"/>
    </row>
    <row r="35" spans="2:18">
      <c r="B35" s="230"/>
      <c r="C35" s="231" t="s">
        <v>400</v>
      </c>
      <c r="D35" s="232"/>
      <c r="E35" s="232"/>
      <c r="F35" s="233"/>
      <c r="G35" s="233"/>
      <c r="H35" s="232"/>
      <c r="I35" s="234"/>
      <c r="J35"/>
      <c r="K35"/>
      <c r="L35"/>
      <c r="M35"/>
      <c r="N35"/>
      <c r="O35"/>
      <c r="P35"/>
      <c r="Q35"/>
      <c r="R35"/>
    </row>
    <row r="36" spans="2:18" ht="15.75" customHeight="1">
      <c r="B36" s="235"/>
      <c r="C36" s="732" t="s">
        <v>353</v>
      </c>
      <c r="D36" s="732"/>
      <c r="E36" s="221"/>
      <c r="F36"/>
      <c r="G36"/>
      <c r="H36" s="221"/>
      <c r="I36" s="236"/>
      <c r="J36"/>
      <c r="K36"/>
      <c r="L36"/>
      <c r="M36"/>
      <c r="N36"/>
      <c r="O36"/>
      <c r="P36"/>
      <c r="Q36"/>
      <c r="R36"/>
    </row>
    <row r="37" spans="2:18">
      <c r="B37" s="235"/>
      <c r="C37" s="237" t="s">
        <v>146</v>
      </c>
      <c r="D37" s="9">
        <v>40</v>
      </c>
      <c r="E37" s="238"/>
      <c r="F37"/>
      <c r="G37"/>
      <c r="H37" s="239"/>
      <c r="I37" s="240"/>
      <c r="J37"/>
      <c r="K37"/>
      <c r="L37"/>
      <c r="M37"/>
      <c r="N37"/>
      <c r="O37"/>
      <c r="P37"/>
      <c r="Q37"/>
      <c r="R37"/>
    </row>
    <row r="38" spans="2:18">
      <c r="B38" s="235"/>
      <c r="C38" s="237" t="s">
        <v>147</v>
      </c>
      <c r="D38" s="9">
        <v>10</v>
      </c>
      <c r="E38" s="631" t="s">
        <v>148</v>
      </c>
      <c r="F38" s="564"/>
      <c r="G38" s="564"/>
      <c r="H38" s="632"/>
      <c r="I38" s="633"/>
      <c r="J38"/>
      <c r="K38"/>
      <c r="L38"/>
      <c r="M38"/>
      <c r="N38"/>
      <c r="O38"/>
      <c r="P38"/>
      <c r="Q38"/>
      <c r="R38"/>
    </row>
    <row r="39" spans="2:18">
      <c r="B39" s="235"/>
      <c r="C39" s="241" t="s">
        <v>149</v>
      </c>
      <c r="D39" s="9">
        <v>20</v>
      </c>
      <c r="E39" s="631" t="s">
        <v>150</v>
      </c>
      <c r="F39" s="564"/>
      <c r="G39" s="564"/>
      <c r="H39" s="632"/>
      <c r="I39" s="633"/>
      <c r="J39"/>
      <c r="K39"/>
      <c r="L39"/>
      <c r="M39"/>
      <c r="N39"/>
      <c r="O39"/>
      <c r="P39"/>
      <c r="Q39"/>
      <c r="R39"/>
    </row>
    <row r="40" spans="2:18">
      <c r="B40" s="235"/>
      <c r="C40" s="241" t="s">
        <v>151</v>
      </c>
      <c r="D40" s="9">
        <v>3</v>
      </c>
      <c r="E40" s="631" t="s">
        <v>152</v>
      </c>
      <c r="F40" s="564"/>
      <c r="G40" s="564"/>
      <c r="H40" s="632"/>
      <c r="I40" s="633"/>
      <c r="J40"/>
      <c r="K40"/>
      <c r="L40"/>
      <c r="M40"/>
      <c r="N40"/>
      <c r="O40"/>
      <c r="P40"/>
      <c r="Q40"/>
      <c r="R40"/>
    </row>
    <row r="41" spans="2:18">
      <c r="B41" s="235"/>
      <c r="C41" s="241" t="s">
        <v>153</v>
      </c>
      <c r="D41" s="166">
        <v>1</v>
      </c>
      <c r="E41" s="631" t="s">
        <v>154</v>
      </c>
      <c r="F41" s="564"/>
      <c r="G41" s="564"/>
      <c r="H41" s="632"/>
      <c r="I41" s="633"/>
      <c r="J41"/>
      <c r="K41"/>
      <c r="L41"/>
      <c r="M41"/>
      <c r="N41"/>
      <c r="O41"/>
      <c r="P41"/>
      <c r="Q41"/>
      <c r="R41"/>
    </row>
    <row r="42" spans="2:18">
      <c r="B42" s="235"/>
      <c r="C42" s="241" t="s">
        <v>158</v>
      </c>
      <c r="D42" s="10">
        <v>0.5</v>
      </c>
      <c r="E42" s="631" t="s">
        <v>355</v>
      </c>
      <c r="F42" s="564"/>
      <c r="G42" s="564"/>
      <c r="H42" s="632"/>
      <c r="I42" s="633"/>
      <c r="J42"/>
      <c r="K42"/>
      <c r="L42"/>
      <c r="M42"/>
      <c r="N42"/>
      <c r="O42"/>
      <c r="P42"/>
      <c r="Q42"/>
      <c r="R42"/>
    </row>
    <row r="43" spans="2:18">
      <c r="B43" s="235"/>
      <c r="C43" s="241" t="s">
        <v>159</v>
      </c>
      <c r="D43" s="166">
        <v>6</v>
      </c>
      <c r="E43" s="716">
        <f>ROUNDUP((D37*D42)/5,1)</f>
        <v>4</v>
      </c>
      <c r="F43" s="717"/>
      <c r="G43" s="717"/>
      <c r="H43" s="717"/>
      <c r="I43" s="718"/>
      <c r="J43"/>
      <c r="K43"/>
      <c r="L43"/>
      <c r="M43"/>
      <c r="N43"/>
      <c r="O43"/>
      <c r="P43"/>
      <c r="Q43"/>
      <c r="R43"/>
    </row>
    <row r="44" spans="2:18">
      <c r="B44" s="235"/>
      <c r="C44" s="241" t="str">
        <f>IF(OR(D47="15-minute increments",D47="Per diem"),"Annual UOS per FTE",IF(D47="Per member per month","Annual UOS per Client",""))</f>
        <v/>
      </c>
      <c r="D44" s="242" t="str">
        <f>IF(D47="15-minute increments",(((52*5)-SUM(D38:D41))/5)*D37*D42*4,IF(D47="Per diem",(((52*5)-SUM(D38:D41))*D43),IF(D47="Per member per month",12,"")))</f>
        <v/>
      </c>
      <c r="E44" s="175"/>
      <c r="F44"/>
      <c r="G44"/>
      <c r="H44" s="175"/>
      <c r="I44" s="243"/>
      <c r="J44"/>
      <c r="K44"/>
      <c r="L44"/>
      <c r="M44"/>
      <c r="N44"/>
      <c r="O44"/>
      <c r="P44"/>
      <c r="Q44"/>
      <c r="R44"/>
    </row>
    <row r="45" spans="2:18">
      <c r="B45" s="235"/>
      <c r="C45" s="244"/>
      <c r="D45"/>
      <c r="E45" s="245"/>
      <c r="F45"/>
      <c r="G45"/>
      <c r="H45" s="245"/>
      <c r="I45" s="240"/>
      <c r="J45"/>
      <c r="K45"/>
      <c r="L45"/>
      <c r="M45"/>
      <c r="N45"/>
      <c r="O45"/>
      <c r="P45"/>
      <c r="Q45"/>
      <c r="R45"/>
    </row>
    <row r="46" spans="2:18" ht="15.75" customHeight="1">
      <c r="B46" s="235"/>
      <c r="C46" s="732" t="s">
        <v>342</v>
      </c>
      <c r="D46" s="732"/>
      <c r="E46" s="245"/>
      <c r="F46"/>
      <c r="G46"/>
      <c r="H46" s="245"/>
      <c r="I46" s="240"/>
      <c r="J46"/>
      <c r="K46"/>
      <c r="L46"/>
      <c r="M46"/>
      <c r="N46"/>
      <c r="O46"/>
      <c r="P46"/>
      <c r="Q46"/>
      <c r="R46"/>
    </row>
    <row r="47" spans="2:18">
      <c r="B47" s="235"/>
      <c r="C47" s="241" t="s">
        <v>155</v>
      </c>
      <c r="D47" s="574" t="s">
        <v>180</v>
      </c>
      <c r="E47" s="246"/>
      <c r="F47"/>
      <c r="G47"/>
      <c r="H47" s="247"/>
      <c r="I47" s="240"/>
      <c r="J47"/>
      <c r="K47"/>
      <c r="L47"/>
      <c r="M47"/>
      <c r="N47"/>
      <c r="O47"/>
      <c r="P47"/>
      <c r="Q47"/>
      <c r="R47"/>
    </row>
    <row r="48" spans="2:18">
      <c r="B48" s="235"/>
      <c r="C48" s="241" t="s">
        <v>368</v>
      </c>
      <c r="D48" s="594">
        <v>0</v>
      </c>
      <c r="E48" s="762" t="str">
        <f>IF(AND(OR(SUM(D18:F18)=0,SUM(D18:F18)=""),OR(D47="Select",D47="")),"",IF(AND(OR(D47="15-minute increments",D47="Per diem",D47="Per member per month"),OR(SUM(D18:F18)=0,SUM(D18:F18)=""),D25&gt;0),"Please fill in your target populations above in section 1", IF(AND(OR(D47="15-minute increments",D47="Per diem",D47="Per member per month"),OR(D25="",D25=0),SUM(D18:F18)&gt;0),"Please fill in your billing staff above in section 2a",IF(AND(OR(D47="15-minute increments",D47="Per diem",D47="Per member per month"),OR(SUM(D18:F18)="",SUM(D18:F18)=0),OR(D25=0,D25="")),"Please fill in your target populations and billing staff above in sections 1 and 2a",IF(D47="15-minute increments",((F92)/D25/D44)*D48,IF(D47="Per diem",((F92)/D25/D44)*D48,IF(D47="Per member per month",((F92)/SUM(D18:F18)/D44)*D48,"")))))))</f>
        <v/>
      </c>
      <c r="F48" s="763"/>
      <c r="G48" s="763"/>
      <c r="H48" s="763"/>
      <c r="I48" s="764"/>
      <c r="J48" s="604"/>
      <c r="K48"/>
      <c r="L48"/>
      <c r="M48"/>
      <c r="N48"/>
      <c r="O48"/>
      <c r="P48"/>
      <c r="Q48"/>
      <c r="R48"/>
    </row>
    <row r="49" spans="2:18" ht="17.25" customHeight="1">
      <c r="B49" s="235"/>
      <c r="C49" s="241" t="s">
        <v>157</v>
      </c>
      <c r="D49" s="617">
        <v>0</v>
      </c>
      <c r="F49" s="19"/>
      <c r="G49" s="19"/>
      <c r="H49" s="19"/>
      <c r="I49" s="602"/>
      <c r="J49"/>
      <c r="K49"/>
      <c r="L49"/>
      <c r="M49"/>
      <c r="N49"/>
      <c r="O49"/>
      <c r="P49"/>
      <c r="Q49"/>
      <c r="R49"/>
    </row>
    <row r="50" spans="2:18" ht="6.75" customHeight="1" thickBot="1">
      <c r="B50" s="248"/>
      <c r="C50" s="249"/>
      <c r="D50" s="250"/>
      <c r="E50" s="251"/>
      <c r="F50" s="252"/>
      <c r="G50" s="252"/>
      <c r="H50" s="251"/>
      <c r="I50" s="253"/>
      <c r="J50"/>
      <c r="K50"/>
      <c r="L50"/>
      <c r="M50"/>
      <c r="N50"/>
      <c r="O50"/>
      <c r="P50"/>
      <c r="Q50"/>
      <c r="R50"/>
    </row>
    <row r="51" spans="2:18">
      <c r="C51" s="244"/>
      <c r="D51" s="226"/>
      <c r="E51" s="226"/>
      <c r="F51" s="254"/>
      <c r="G51" s="254"/>
      <c r="H51" s="226"/>
      <c r="J51"/>
      <c r="K51"/>
      <c r="L51"/>
      <c r="M51"/>
      <c r="N51"/>
      <c r="O51"/>
      <c r="P51"/>
      <c r="Q51"/>
      <c r="R51"/>
    </row>
    <row r="52" spans="2:18" ht="29.25" customHeight="1">
      <c r="C52" s="63" t="s">
        <v>356</v>
      </c>
      <c r="D52" s="255"/>
      <c r="E52" s="255"/>
      <c r="F52" s="19"/>
      <c r="G52" s="19"/>
      <c r="H52" s="255"/>
      <c r="J52"/>
      <c r="K52"/>
      <c r="L52"/>
      <c r="M52"/>
      <c r="N52"/>
      <c r="O52"/>
      <c r="P52"/>
      <c r="Q52"/>
      <c r="R52"/>
    </row>
    <row r="53" spans="2:18" ht="8.25" customHeight="1" thickBot="1">
      <c r="C53" s="49"/>
      <c r="F53" s="19"/>
      <c r="G53" s="19"/>
      <c r="H53" s="19"/>
      <c r="I53" s="19"/>
      <c r="J53" s="19"/>
      <c r="L53"/>
      <c r="M53"/>
      <c r="N53"/>
      <c r="O53"/>
      <c r="P53"/>
      <c r="Q53"/>
      <c r="R53"/>
    </row>
    <row r="54" spans="2:18" ht="16.5" thickBot="1">
      <c r="C54" s="670" t="s">
        <v>358</v>
      </c>
      <c r="D54" s="671"/>
      <c r="E54" s="671"/>
      <c r="F54" s="671"/>
      <c r="G54" s="672"/>
      <c r="H54"/>
      <c r="I54" s="670" t="s">
        <v>352</v>
      </c>
      <c r="J54" s="671"/>
      <c r="K54" s="671"/>
      <c r="L54" s="672"/>
      <c r="M54"/>
      <c r="N54"/>
      <c r="O54"/>
      <c r="P54"/>
      <c r="Q54"/>
      <c r="R54"/>
    </row>
    <row r="55" spans="2:18" ht="31.5">
      <c r="C55" s="518"/>
      <c r="D55" s="453" t="s">
        <v>357</v>
      </c>
      <c r="E55" s="454" t="s">
        <v>354</v>
      </c>
      <c r="F55" s="519" t="s">
        <v>362</v>
      </c>
      <c r="G55" s="528" t="s">
        <v>363</v>
      </c>
      <c r="H55"/>
      <c r="I55" s="457" t="s">
        <v>160</v>
      </c>
      <c r="J55" s="458" t="s">
        <v>161</v>
      </c>
      <c r="K55" s="458" t="s">
        <v>162</v>
      </c>
      <c r="L55" s="459" t="s">
        <v>344</v>
      </c>
      <c r="M55"/>
      <c r="N55"/>
      <c r="O55"/>
      <c r="P55"/>
      <c r="Q55"/>
      <c r="R55"/>
    </row>
    <row r="56" spans="2:18" ht="16.5" thickBot="1">
      <c r="C56" s="256" t="s">
        <v>42</v>
      </c>
      <c r="D56" s="257"/>
      <c r="E56" s="258"/>
      <c r="F56" s="325"/>
      <c r="G56" s="529"/>
      <c r="H56"/>
      <c r="I56" s="260"/>
      <c r="J56" s="257"/>
      <c r="K56" s="257"/>
      <c r="L56" s="259"/>
      <c r="M56"/>
      <c r="N56"/>
      <c r="O56"/>
      <c r="P56"/>
      <c r="Q56"/>
      <c r="R56"/>
    </row>
    <row r="57" spans="2:18" ht="16.5" thickTop="1">
      <c r="C57" s="119" t="s">
        <v>49</v>
      </c>
      <c r="D57" s="261">
        <f>SUMPRODUCT(D23:D24,E23:E24)+SUMPRODUCT(D28:D31,E28:E31)</f>
        <v>0</v>
      </c>
      <c r="E57" s="460">
        <f>IF(OR('9. Medicaid Admin Costs'!$F$5="Apply to TSS Tab 6",'9. Medicaid Admin Costs'!$F$5="Apply to All"),(SUMIF('9. Medicaid Admin Costs'!$D$12:$D$14,"Ongoing - Annually",'9. Medicaid Admin Costs'!$I$12:$I$14)+SUMIF('9. Medicaid Admin Costs'!$D$12:$D$14,"Ongoing - Monthly",'9. Medicaid Admin Costs'!$I$12:$I$14)+SUMIF('9. Medicaid Admin Costs'!$D$12:$D$14,"Ongoing - Quarterly",'9. Medicaid Admin Costs'!$I$12:$I$14)),0)</f>
        <v>40000</v>
      </c>
      <c r="F57" s="487">
        <f t="shared" ref="F57:F62" si="0">D57+E57</f>
        <v>40000</v>
      </c>
      <c r="G57" s="530"/>
      <c r="H57"/>
      <c r="I57" s="461">
        <f>F57+G57</f>
        <v>40000</v>
      </c>
      <c r="J57" s="174">
        <f>F57*(1+$J$105)</f>
        <v>43000</v>
      </c>
      <c r="K57" s="174">
        <f>J57*(1+$J$105)</f>
        <v>46225</v>
      </c>
      <c r="L57" s="462">
        <f>I57+J57+K57</f>
        <v>129225</v>
      </c>
      <c r="M57"/>
      <c r="N57"/>
      <c r="O57"/>
      <c r="P57"/>
      <c r="Q57"/>
      <c r="R57"/>
    </row>
    <row r="58" spans="2:18">
      <c r="C58" s="94" t="s">
        <v>50</v>
      </c>
      <c r="D58" s="262">
        <f>D57*'3. Basic Input &amp; Assumptions'!K20</f>
        <v>0</v>
      </c>
      <c r="E58" s="205">
        <f>E57*'3. Basic Input &amp; Assumptions'!$K$20</f>
        <v>12800</v>
      </c>
      <c r="F58" s="487">
        <f t="shared" si="0"/>
        <v>12800</v>
      </c>
      <c r="G58" s="101"/>
      <c r="H58"/>
      <c r="I58" s="461">
        <f>I57*'3. Basic Input &amp; Assumptions'!$K$20</f>
        <v>12800</v>
      </c>
      <c r="J58" s="270">
        <f>J57*'3. Basic Input &amp; Assumptions'!$K$20</f>
        <v>13760</v>
      </c>
      <c r="K58" s="270">
        <f>(K57*'3. Basic Input &amp; Assumptions'!$K$20)</f>
        <v>14792</v>
      </c>
      <c r="L58" s="463">
        <f t="shared" ref="L58:L62" si="1">I58+J58+K58</f>
        <v>41352</v>
      </c>
      <c r="M58"/>
      <c r="N58"/>
      <c r="O58"/>
      <c r="P58"/>
      <c r="Q58"/>
      <c r="R58"/>
    </row>
    <row r="59" spans="2:18">
      <c r="C59" s="94" t="s">
        <v>51</v>
      </c>
      <c r="D59" s="43">
        <v>0</v>
      </c>
      <c r="E59" s="205">
        <f>IF(OR('9. Medicaid Admin Costs'!$F$5="Apply to TSS Tab 6",'9. Medicaid Admin Costs'!$F$5="Apply to All"),(SUMIF('9. Medicaid Admin Costs'!$D$16:$D$17,"Ongoing - Annually",'9. Medicaid Admin Costs'!$I$16:$I$17)+SUMIF('9. Medicaid Admin Costs'!$D$16:$D$17,"Ongoing - Monthly",'9. Medicaid Admin Costs'!$I$16:$I$17)+SUMIF('9. Medicaid Admin Costs'!$D$16:$D$17,"Ongoing - Quarterly",'9. Medicaid Admin Costs'!$I$16:$I$17)),0)</f>
        <v>0</v>
      </c>
      <c r="F59" s="487">
        <f t="shared" si="0"/>
        <v>0</v>
      </c>
      <c r="G59" s="95">
        <f ca="1">IF(OR('9. Medicaid Admin Costs'!$F$5="Apply to TSS Tab 6",'9. Medicaid Admin Costs'!$F$5="Apply to All"),SUMIF('9. Medicaid Admin Costs'!$D$16:DI$17,"Start Up",'9. Medicaid Admin Costs'!$I$16:$I$17),0)</f>
        <v>0</v>
      </c>
      <c r="H59"/>
      <c r="I59" s="461">
        <f ca="1">E59+F59+G59</f>
        <v>0</v>
      </c>
      <c r="J59" s="270">
        <f t="shared" ref="J59:K61" ca="1" si="2">I59*(1+$J$105)</f>
        <v>0</v>
      </c>
      <c r="K59" s="270">
        <f t="shared" ca="1" si="2"/>
        <v>0</v>
      </c>
      <c r="L59" s="463">
        <f t="shared" ca="1" si="1"/>
        <v>0</v>
      </c>
      <c r="M59"/>
      <c r="N59"/>
      <c r="O59"/>
      <c r="P59"/>
      <c r="Q59"/>
      <c r="R59"/>
    </row>
    <row r="60" spans="2:18">
      <c r="C60" s="94" t="s">
        <v>52</v>
      </c>
      <c r="D60" s="43">
        <v>0</v>
      </c>
      <c r="E60" s="205">
        <f>IF(OR('9. Medicaid Admin Costs'!$F$5="Apply to TSS Tab 6",'9. Medicaid Admin Costs'!$F$5="Apply to All"),(SUMIF('9. Medicaid Admin Costs'!$D$19,"Ongoing - Annually",'9. Medicaid Admin Costs'!$I$19)+SUMIF('9. Medicaid Admin Costs'!$D$19,"Ongoing - Monthly",'9. Medicaid Admin Costs'!$I$19)+SUMIF('9. Medicaid Admin Costs'!$D$19,"Ongoing - Quarterly",'9. Medicaid Admin Costs'!$I$19)),0)</f>
        <v>0</v>
      </c>
      <c r="F60" s="487">
        <f t="shared" si="0"/>
        <v>0</v>
      </c>
      <c r="G60" s="95">
        <f>SUM('8. General Startup Costs'!$F$10:$F$15)+(IF(OR('9. Medicaid Admin Costs'!$F$5="Apply to TSS Tab 6",'9. Medicaid Admin Costs'!$F$5="Apply to All"),SUMIF('9. Medicaid Admin Costs'!$D$19,"Start Up",'9. Medicaid Admin Costs'!$I$19),0))</f>
        <v>0</v>
      </c>
      <c r="H60"/>
      <c r="I60" s="461">
        <f>F60+G60</f>
        <v>0</v>
      </c>
      <c r="J60" s="270">
        <f t="shared" si="2"/>
        <v>0</v>
      </c>
      <c r="K60" s="270">
        <f t="shared" si="2"/>
        <v>0</v>
      </c>
      <c r="L60" s="463">
        <f t="shared" si="1"/>
        <v>0</v>
      </c>
      <c r="M60"/>
      <c r="N60"/>
      <c r="O60"/>
      <c r="P60"/>
      <c r="Q60"/>
      <c r="R60"/>
    </row>
    <row r="61" spans="2:18">
      <c r="C61" s="96" t="s">
        <v>53</v>
      </c>
      <c r="D61" s="622">
        <v>0</v>
      </c>
      <c r="E61" s="464">
        <f>IF(OR('9. Medicaid Admin Costs'!$F$5="Apply to TSS Tab 6",'9. Medicaid Admin Costs'!$F$5="Apply to All"),(SUMIF('9. Medicaid Admin Costs'!$D$21:$D$22,"Ongoing - Annually",'9. Medicaid Admin Costs'!$I$21:$I$22)+SUMIF('9. Medicaid Admin Costs'!$D$21:$D$22,"Ongoing - Monthly",'9. Medicaid Admin Costs'!$I$21:$I$22)+SUMIF('9. Medicaid Admin Costs'!$D$21:$D$22,"Ongoing - Quarterly",'9. Medicaid Admin Costs'!$I$21:$I$22)),0)</f>
        <v>0</v>
      </c>
      <c r="F61" s="487">
        <f t="shared" si="0"/>
        <v>0</v>
      </c>
      <c r="G61" s="200">
        <f>SUM('8. General Startup Costs'!$F$17:$F$20)+(IF(OR('9. Medicaid Admin Costs'!$F$5="Apply to TSS Tab 6",'9. Medicaid Admin Costs'!$F$5="Apply to All"),SUMIF('9. Medicaid Admin Costs'!$D$21:$D$22,"Start Up",'9. Medicaid Admin Costs'!$I$21:$I$22),0))</f>
        <v>0</v>
      </c>
      <c r="H61"/>
      <c r="I61" s="461">
        <f>F61+G61</f>
        <v>0</v>
      </c>
      <c r="J61" s="270">
        <f t="shared" si="2"/>
        <v>0</v>
      </c>
      <c r="K61" s="270">
        <f t="shared" si="2"/>
        <v>0</v>
      </c>
      <c r="L61" s="463">
        <f t="shared" si="1"/>
        <v>0</v>
      </c>
      <c r="M61"/>
      <c r="N61"/>
      <c r="O61"/>
      <c r="P61"/>
      <c r="Q61"/>
      <c r="R61"/>
    </row>
    <row r="62" spans="2:18">
      <c r="C62" s="98" t="s">
        <v>54</v>
      </c>
      <c r="D62" s="261">
        <f>SUM(D57:D61)</f>
        <v>0</v>
      </c>
      <c r="E62" s="206">
        <f>SUM(E57:E61)</f>
        <v>52800</v>
      </c>
      <c r="F62" s="520">
        <f t="shared" si="0"/>
        <v>52800</v>
      </c>
      <c r="G62" s="209">
        <f ca="1">SUM(G57:G61)</f>
        <v>0</v>
      </c>
      <c r="H62"/>
      <c r="I62" s="466">
        <f ca="1">SUM(I57:I61)</f>
        <v>52800</v>
      </c>
      <c r="J62" s="465">
        <f ca="1">SUM(J57:J61)</f>
        <v>56760</v>
      </c>
      <c r="K62" s="465">
        <f ca="1">SUM(K57:K61)</f>
        <v>61017</v>
      </c>
      <c r="L62" s="113">
        <f t="shared" ca="1" si="1"/>
        <v>170577</v>
      </c>
      <c r="M62"/>
      <c r="N62"/>
      <c r="O62"/>
      <c r="P62"/>
      <c r="Q62"/>
      <c r="R62"/>
    </row>
    <row r="63" spans="2:18">
      <c r="C63" s="100"/>
      <c r="D63" s="263"/>
      <c r="E63" s="467"/>
      <c r="F63" s="521"/>
      <c r="G63" s="101"/>
      <c r="H63"/>
      <c r="I63" s="468"/>
      <c r="J63" s="263"/>
      <c r="K63" s="263"/>
      <c r="L63" s="114"/>
      <c r="M63"/>
      <c r="N63"/>
      <c r="O63"/>
      <c r="P63"/>
      <c r="Q63"/>
      <c r="R63"/>
    </row>
    <row r="64" spans="2:18" ht="16.5" thickBot="1">
      <c r="C64" s="120" t="s">
        <v>55</v>
      </c>
      <c r="D64" s="264"/>
      <c r="E64" s="469"/>
      <c r="F64" s="522"/>
      <c r="G64" s="121"/>
      <c r="H64"/>
      <c r="I64" s="470"/>
      <c r="J64" s="264"/>
      <c r="K64" s="264"/>
      <c r="L64" s="118"/>
      <c r="M64"/>
      <c r="N64"/>
      <c r="O64"/>
      <c r="P64"/>
      <c r="Q64"/>
      <c r="R64"/>
    </row>
    <row r="65" spans="3:18" ht="16.5" thickTop="1">
      <c r="C65" s="119" t="s">
        <v>56</v>
      </c>
      <c r="D65" s="204">
        <v>0</v>
      </c>
      <c r="E65" s="207"/>
      <c r="F65" s="523">
        <f>D65+E65</f>
        <v>0</v>
      </c>
      <c r="G65" s="99">
        <f>'8. General Startup Costs'!$F$24</f>
        <v>0</v>
      </c>
      <c r="H65"/>
      <c r="I65" s="472">
        <f>F65+G65</f>
        <v>0</v>
      </c>
      <c r="J65" s="174">
        <f>I65*(1+$J$105)</f>
        <v>0</v>
      </c>
      <c r="K65" s="174">
        <f>J65*(1+$J$105)</f>
        <v>0</v>
      </c>
      <c r="L65" s="462">
        <f t="shared" ref="L65:L87" si="3">I65+J65+K65</f>
        <v>0</v>
      </c>
      <c r="M65"/>
      <c r="N65"/>
      <c r="O65"/>
      <c r="P65"/>
      <c r="Q65"/>
      <c r="R65"/>
    </row>
    <row r="66" spans="3:18">
      <c r="C66" s="94" t="s">
        <v>57</v>
      </c>
      <c r="D66" s="43">
        <v>0</v>
      </c>
      <c r="E66" s="467"/>
      <c r="F66" s="523">
        <f>D66+E66</f>
        <v>0</v>
      </c>
      <c r="G66" s="95">
        <f>'8. General Startup Costs'!$F$25</f>
        <v>0</v>
      </c>
      <c r="H66"/>
      <c r="I66" s="472">
        <f t="shared" ref="I66:I67" si="4">F66+G66</f>
        <v>0</v>
      </c>
      <c r="J66" s="174">
        <f t="shared" ref="J66:J72" si="5">I66*(1+$J$105)</f>
        <v>0</v>
      </c>
      <c r="K66" s="270">
        <f t="shared" ref="K66:K73" si="6">J66*(1+$J$105)</f>
        <v>0</v>
      </c>
      <c r="L66" s="463">
        <f t="shared" si="3"/>
        <v>0</v>
      </c>
      <c r="M66"/>
      <c r="N66"/>
      <c r="O66"/>
      <c r="P66"/>
      <c r="Q66"/>
      <c r="R66"/>
    </row>
    <row r="67" spans="3:18">
      <c r="C67" s="94" t="s">
        <v>58</v>
      </c>
      <c r="D67" s="43">
        <v>0</v>
      </c>
      <c r="E67" s="467"/>
      <c r="F67" s="523">
        <f t="shared" ref="F67:F71" si="7">D67+E67</f>
        <v>0</v>
      </c>
      <c r="G67" s="95">
        <f>'8. General Startup Costs'!$F$26</f>
        <v>0</v>
      </c>
      <c r="H67"/>
      <c r="I67" s="472">
        <f t="shared" si="4"/>
        <v>0</v>
      </c>
      <c r="J67" s="174">
        <f t="shared" si="5"/>
        <v>0</v>
      </c>
      <c r="K67" s="270">
        <f t="shared" si="6"/>
        <v>0</v>
      </c>
      <c r="L67" s="463">
        <f t="shared" si="3"/>
        <v>0</v>
      </c>
      <c r="M67"/>
      <c r="N67"/>
      <c r="O67"/>
      <c r="P67"/>
      <c r="Q67"/>
      <c r="R67"/>
    </row>
    <row r="68" spans="3:18">
      <c r="C68" s="94" t="s">
        <v>59</v>
      </c>
      <c r="D68" s="43">
        <v>0</v>
      </c>
      <c r="E68" s="467"/>
      <c r="F68" s="523">
        <f t="shared" si="7"/>
        <v>0</v>
      </c>
      <c r="G68" s="101"/>
      <c r="H68"/>
      <c r="I68" s="472">
        <f>F68+G68</f>
        <v>0</v>
      </c>
      <c r="J68" s="174">
        <f t="shared" si="5"/>
        <v>0</v>
      </c>
      <c r="K68" s="270">
        <f t="shared" si="6"/>
        <v>0</v>
      </c>
      <c r="L68" s="463">
        <f t="shared" si="3"/>
        <v>0</v>
      </c>
      <c r="M68"/>
      <c r="N68"/>
      <c r="O68"/>
      <c r="P68"/>
      <c r="Q68"/>
      <c r="R68"/>
    </row>
    <row r="69" spans="3:18" ht="31.5" customHeight="1">
      <c r="C69" s="94" t="s">
        <v>60</v>
      </c>
      <c r="D69" s="43">
        <v>0</v>
      </c>
      <c r="E69" s="467"/>
      <c r="F69" s="523">
        <f t="shared" si="7"/>
        <v>0</v>
      </c>
      <c r="G69" s="95">
        <f>'8. General Startup Costs'!$F$27</f>
        <v>0</v>
      </c>
      <c r="H69"/>
      <c r="I69" s="472">
        <f t="shared" ref="I69:I71" si="8">F69+G69</f>
        <v>0</v>
      </c>
      <c r="J69" s="174">
        <f t="shared" si="5"/>
        <v>0</v>
      </c>
      <c r="K69" s="270">
        <f t="shared" si="6"/>
        <v>0</v>
      </c>
      <c r="L69" s="463">
        <f t="shared" si="3"/>
        <v>0</v>
      </c>
      <c r="M69"/>
      <c r="N69"/>
      <c r="O69"/>
      <c r="P69"/>
      <c r="Q69"/>
      <c r="R69"/>
    </row>
    <row r="70" spans="3:18">
      <c r="C70" s="94" t="s">
        <v>61</v>
      </c>
      <c r="D70" s="43">
        <v>0</v>
      </c>
      <c r="E70" s="467"/>
      <c r="F70" s="523">
        <f t="shared" si="7"/>
        <v>0</v>
      </c>
      <c r="G70" s="95">
        <f>'8. General Startup Costs'!$F$28</f>
        <v>0</v>
      </c>
      <c r="H70"/>
      <c r="I70" s="472">
        <f t="shared" si="8"/>
        <v>0</v>
      </c>
      <c r="J70" s="174">
        <f t="shared" si="5"/>
        <v>0</v>
      </c>
      <c r="K70" s="270">
        <f t="shared" si="6"/>
        <v>0</v>
      </c>
      <c r="L70" s="463">
        <f t="shared" si="3"/>
        <v>0</v>
      </c>
      <c r="M70"/>
      <c r="N70"/>
      <c r="O70"/>
      <c r="P70"/>
      <c r="Q70"/>
      <c r="R70"/>
    </row>
    <row r="71" spans="3:18">
      <c r="C71" s="94" t="s">
        <v>62</v>
      </c>
      <c r="D71" s="43">
        <v>0</v>
      </c>
      <c r="E71" s="205">
        <f>IF(OR('9. Medicaid Admin Costs'!$F$5="Apply to TSS Tab 6",'9. Medicaid Admin Costs'!$F$5="Apply to All"),(SUMIF('9. Medicaid Admin Costs'!$D$28,"Ongoing - Annually",'9. Medicaid Admin Costs'!$I$28)+SUMIF('9. Medicaid Admin Costs'!$D$28,"Ongoing - Monthly",'9. Medicaid Admin Costs'!$I$28)+SUMIF('9. Medicaid Admin Costs'!$D$28,"Ongoing - Quarterly",'9. Medicaid Admin Costs'!$I$28)),0)</f>
        <v>0</v>
      </c>
      <c r="F71" s="523">
        <f t="shared" si="7"/>
        <v>0</v>
      </c>
      <c r="G71" s="101"/>
      <c r="H71"/>
      <c r="I71" s="472">
        <f t="shared" si="8"/>
        <v>0</v>
      </c>
      <c r="J71" s="174">
        <f t="shared" si="5"/>
        <v>0</v>
      </c>
      <c r="K71" s="270">
        <f t="shared" si="6"/>
        <v>0</v>
      </c>
      <c r="L71" s="463">
        <f t="shared" si="3"/>
        <v>0</v>
      </c>
      <c r="M71"/>
      <c r="N71"/>
      <c r="O71"/>
      <c r="P71"/>
      <c r="Q71"/>
      <c r="R71"/>
    </row>
    <row r="72" spans="3:18">
      <c r="C72" s="103" t="s">
        <v>63</v>
      </c>
      <c r="D72" s="265">
        <f>D73*D74*D75*((52*5)-SUM(D38:D41))</f>
        <v>0</v>
      </c>
      <c r="E72" s="467"/>
      <c r="F72" s="523">
        <f>D72</f>
        <v>0</v>
      </c>
      <c r="G72" s="101"/>
      <c r="H72"/>
      <c r="I72" s="472">
        <f>F72</f>
        <v>0</v>
      </c>
      <c r="J72" s="174">
        <f t="shared" si="5"/>
        <v>0</v>
      </c>
      <c r="K72" s="270">
        <f t="shared" si="6"/>
        <v>0</v>
      </c>
      <c r="L72" s="463">
        <f t="shared" si="3"/>
        <v>0</v>
      </c>
      <c r="M72"/>
      <c r="N72"/>
      <c r="O72"/>
      <c r="P72"/>
      <c r="Q72"/>
      <c r="R72"/>
    </row>
    <row r="73" spans="3:18">
      <c r="C73" s="104" t="s">
        <v>64</v>
      </c>
      <c r="D73" s="303">
        <f>'3. Basic Input &amp; Assumptions'!K18</f>
        <v>0.67</v>
      </c>
      <c r="E73" s="473"/>
      <c r="F73" s="524">
        <f>D73</f>
        <v>0.67</v>
      </c>
      <c r="G73" s="531"/>
      <c r="H73" s="301"/>
      <c r="I73" s="476">
        <f>F73</f>
        <v>0.67</v>
      </c>
      <c r="J73" s="326">
        <f>I73*(1+$J$105)</f>
        <v>0.72025000000000006</v>
      </c>
      <c r="K73" s="304">
        <f t="shared" si="6"/>
        <v>0.77426875000000006</v>
      </c>
      <c r="L73" s="477">
        <f t="shared" si="3"/>
        <v>2.16451875</v>
      </c>
      <c r="M73"/>
      <c r="N73"/>
      <c r="O73"/>
      <c r="P73"/>
      <c r="Q73"/>
      <c r="R73"/>
    </row>
    <row r="74" spans="3:18" ht="19.5" customHeight="1">
      <c r="C74" s="105" t="s">
        <v>65</v>
      </c>
      <c r="D74" s="305">
        <f>'3. Basic Input &amp; Assumptions'!K16+'3. Basic Input &amp; Assumptions'!K17</f>
        <v>25</v>
      </c>
      <c r="E74" s="478"/>
      <c r="F74" s="525">
        <f>D74</f>
        <v>25</v>
      </c>
      <c r="G74" s="532"/>
      <c r="H74" s="301"/>
      <c r="I74" s="481">
        <f>F74</f>
        <v>25</v>
      </c>
      <c r="J74" s="307">
        <f>D74</f>
        <v>25</v>
      </c>
      <c r="K74" s="307">
        <f>D74</f>
        <v>25</v>
      </c>
      <c r="L74" s="482">
        <f t="shared" si="3"/>
        <v>75</v>
      </c>
      <c r="M74"/>
      <c r="N74"/>
      <c r="O74"/>
      <c r="P74"/>
      <c r="Q74"/>
      <c r="R74"/>
    </row>
    <row r="75" spans="3:18">
      <c r="C75" s="105" t="s">
        <v>66</v>
      </c>
      <c r="D75" s="306">
        <v>0</v>
      </c>
      <c r="E75" s="478"/>
      <c r="F75" s="525">
        <f>D75</f>
        <v>0</v>
      </c>
      <c r="G75" s="532"/>
      <c r="H75" s="301"/>
      <c r="I75" s="481">
        <f>F75</f>
        <v>0</v>
      </c>
      <c r="J75" s="307">
        <f>I75</f>
        <v>0</v>
      </c>
      <c r="K75" s="307">
        <f>I75</f>
        <v>0</v>
      </c>
      <c r="L75" s="482">
        <f t="shared" si="3"/>
        <v>0</v>
      </c>
      <c r="M75"/>
      <c r="N75"/>
      <c r="O75"/>
      <c r="P75"/>
      <c r="Q75"/>
      <c r="R75"/>
    </row>
    <row r="76" spans="3:18">
      <c r="C76" s="94" t="s">
        <v>67</v>
      </c>
      <c r="D76" s="43">
        <v>0</v>
      </c>
      <c r="E76" s="467"/>
      <c r="F76" s="523">
        <f>D76+E76</f>
        <v>0</v>
      </c>
      <c r="G76" s="95">
        <f>'8. General Startup Costs'!$F$29</f>
        <v>0</v>
      </c>
      <c r="H76"/>
      <c r="I76" s="472">
        <f>F76+G76</f>
        <v>0</v>
      </c>
      <c r="J76" s="270">
        <f>F76*(1+$J$105)</f>
        <v>0</v>
      </c>
      <c r="K76" s="270">
        <f t="shared" ref="K76:K87" si="9">J76*(1+$J$105)</f>
        <v>0</v>
      </c>
      <c r="L76" s="463">
        <f t="shared" si="3"/>
        <v>0</v>
      </c>
      <c r="M76"/>
      <c r="N76"/>
      <c r="O76"/>
      <c r="P76"/>
      <c r="Q76"/>
      <c r="R76"/>
    </row>
    <row r="77" spans="3:18">
      <c r="C77" s="94" t="s">
        <v>68</v>
      </c>
      <c r="D77" s="43">
        <v>0</v>
      </c>
      <c r="E77" s="467"/>
      <c r="F77" s="523">
        <f t="shared" ref="F77:F87" si="10">D77+E77</f>
        <v>0</v>
      </c>
      <c r="G77" s="95">
        <f>'8. General Startup Costs'!$F$30</f>
        <v>0</v>
      </c>
      <c r="H77"/>
      <c r="I77" s="472">
        <f t="shared" ref="I77:I87" si="11">F77+G77</f>
        <v>0</v>
      </c>
      <c r="J77" s="270">
        <f t="shared" ref="J77:J87" si="12">F77*(1+$J$105)</f>
        <v>0</v>
      </c>
      <c r="K77" s="270">
        <f t="shared" si="9"/>
        <v>0</v>
      </c>
      <c r="L77" s="463">
        <f t="shared" si="3"/>
        <v>0</v>
      </c>
      <c r="M77"/>
      <c r="N77"/>
      <c r="O77"/>
      <c r="P77"/>
      <c r="Q77"/>
      <c r="R77"/>
    </row>
    <row r="78" spans="3:18">
      <c r="C78" s="94" t="s">
        <v>69</v>
      </c>
      <c r="D78" s="43">
        <v>0</v>
      </c>
      <c r="E78" s="467"/>
      <c r="F78" s="523">
        <f t="shared" si="10"/>
        <v>0</v>
      </c>
      <c r="G78" s="101"/>
      <c r="H78"/>
      <c r="I78" s="472">
        <f t="shared" si="11"/>
        <v>0</v>
      </c>
      <c r="J78" s="270">
        <f t="shared" si="12"/>
        <v>0</v>
      </c>
      <c r="K78" s="270">
        <f t="shared" si="9"/>
        <v>0</v>
      </c>
      <c r="L78" s="463">
        <f t="shared" si="3"/>
        <v>0</v>
      </c>
      <c r="M78"/>
      <c r="N78"/>
      <c r="O78"/>
      <c r="P78"/>
      <c r="Q78"/>
      <c r="R78"/>
    </row>
    <row r="79" spans="3:18">
      <c r="C79" s="94" t="s">
        <v>70</v>
      </c>
      <c r="D79" s="43">
        <v>0</v>
      </c>
      <c r="E79" s="467"/>
      <c r="F79" s="523">
        <f t="shared" si="10"/>
        <v>0</v>
      </c>
      <c r="G79" s="101"/>
      <c r="H79"/>
      <c r="I79" s="472">
        <f t="shared" si="11"/>
        <v>0</v>
      </c>
      <c r="J79" s="270">
        <f t="shared" si="12"/>
        <v>0</v>
      </c>
      <c r="K79" s="270">
        <f t="shared" si="9"/>
        <v>0</v>
      </c>
      <c r="L79" s="463">
        <f t="shared" si="3"/>
        <v>0</v>
      </c>
      <c r="M79"/>
      <c r="N79"/>
      <c r="O79"/>
      <c r="P79"/>
      <c r="Q79"/>
      <c r="R79"/>
    </row>
    <row r="80" spans="3:18">
      <c r="C80" s="94" t="s">
        <v>71</v>
      </c>
      <c r="D80" s="43">
        <v>0</v>
      </c>
      <c r="E80" s="467"/>
      <c r="F80" s="523">
        <f t="shared" si="10"/>
        <v>0</v>
      </c>
      <c r="G80" s="95">
        <f>'8. General Startup Costs'!$F$31</f>
        <v>0</v>
      </c>
      <c r="H80"/>
      <c r="I80" s="472">
        <f t="shared" si="11"/>
        <v>0</v>
      </c>
      <c r="J80" s="270">
        <f t="shared" si="12"/>
        <v>0</v>
      </c>
      <c r="K80" s="270">
        <f t="shared" si="9"/>
        <v>0</v>
      </c>
      <c r="L80" s="463">
        <f t="shared" si="3"/>
        <v>0</v>
      </c>
      <c r="M80"/>
      <c r="N80"/>
      <c r="O80"/>
      <c r="P80"/>
      <c r="Q80"/>
      <c r="R80"/>
    </row>
    <row r="81" spans="3:18" ht="47.25">
      <c r="C81" s="94" t="s">
        <v>72</v>
      </c>
      <c r="D81" s="43">
        <v>0</v>
      </c>
      <c r="E81" s="205">
        <f>IF(OR('9. Medicaid Admin Costs'!$F$5="Apply to TSS Tab 6",'9. Medicaid Admin Costs'!$F$5="Apply to All"),(SUMIF('9. Medicaid Admin Costs'!$D$29:$D$40,"Ongoing - Annually",'9. Medicaid Admin Costs'!$I$29:$I$40)+SUMIF('9. Medicaid Admin Costs'!$D$29:$D$40,"Ongoing - Monthly",'9. Medicaid Admin Costs'!$I$29:$I$40)+SUMIF('9. Medicaid Admin Costs'!$D$29:$D$40,"Ongoing - Quarterly",'9. Medicaid Admin Costs'!$I$29:$I$40)),0)</f>
        <v>0</v>
      </c>
      <c r="F81" s="523">
        <f t="shared" si="10"/>
        <v>0</v>
      </c>
      <c r="G81" s="95">
        <f>SUM('8. General Startup Costs'!$F$33:$F$44)+(IF(OR('9. Medicaid Admin Costs'!$F$5="Apply to TSS Tab 6",'9. Medicaid Admin Costs'!$F$5="Apply to All"),SUMIF('9. Medicaid Admin Costs'!$D$29:$D$40,"Start Up",'9. Medicaid Admin Costs'!$I$29:$I$40),0))</f>
        <v>0</v>
      </c>
      <c r="H81"/>
      <c r="I81" s="472">
        <f t="shared" si="11"/>
        <v>0</v>
      </c>
      <c r="J81" s="270">
        <f t="shared" si="12"/>
        <v>0</v>
      </c>
      <c r="K81" s="270">
        <f t="shared" si="9"/>
        <v>0</v>
      </c>
      <c r="L81" s="463">
        <f t="shared" si="3"/>
        <v>0</v>
      </c>
      <c r="M81"/>
      <c r="N81"/>
      <c r="O81"/>
      <c r="P81"/>
      <c r="Q81"/>
      <c r="R81"/>
    </row>
    <row r="82" spans="3:18" ht="63">
      <c r="C82" s="94" t="s">
        <v>73</v>
      </c>
      <c r="D82" s="43">
        <v>0</v>
      </c>
      <c r="E82" s="467"/>
      <c r="F82" s="523">
        <f t="shared" si="10"/>
        <v>0</v>
      </c>
      <c r="G82" s="95">
        <f>'8. General Startup Costs'!$F$45</f>
        <v>0</v>
      </c>
      <c r="H82"/>
      <c r="I82" s="472">
        <f t="shared" si="11"/>
        <v>0</v>
      </c>
      <c r="J82" s="270">
        <f t="shared" si="12"/>
        <v>0</v>
      </c>
      <c r="K82" s="270">
        <f t="shared" si="9"/>
        <v>0</v>
      </c>
      <c r="L82" s="463">
        <f t="shared" si="3"/>
        <v>0</v>
      </c>
      <c r="M82"/>
      <c r="N82"/>
      <c r="O82"/>
      <c r="P82"/>
      <c r="Q82"/>
      <c r="R82"/>
    </row>
    <row r="83" spans="3:18">
      <c r="C83" s="94" t="s">
        <v>74</v>
      </c>
      <c r="D83" s="43">
        <v>0</v>
      </c>
      <c r="E83" s="467"/>
      <c r="F83" s="523">
        <f t="shared" si="10"/>
        <v>0</v>
      </c>
      <c r="G83" s="101"/>
      <c r="H83"/>
      <c r="I83" s="472">
        <f t="shared" si="11"/>
        <v>0</v>
      </c>
      <c r="J83" s="270">
        <f t="shared" si="12"/>
        <v>0</v>
      </c>
      <c r="K83" s="270">
        <f t="shared" si="9"/>
        <v>0</v>
      </c>
      <c r="L83" s="463">
        <f t="shared" si="3"/>
        <v>0</v>
      </c>
      <c r="M83"/>
      <c r="N83"/>
      <c r="O83"/>
      <c r="P83"/>
      <c r="Q83"/>
      <c r="R83"/>
    </row>
    <row r="84" spans="3:18">
      <c r="C84" s="94" t="s">
        <v>75</v>
      </c>
      <c r="D84" s="43">
        <v>0</v>
      </c>
      <c r="E84" s="467"/>
      <c r="F84" s="523">
        <f t="shared" si="10"/>
        <v>0</v>
      </c>
      <c r="G84" s="101"/>
      <c r="H84"/>
      <c r="I84" s="472">
        <f t="shared" si="11"/>
        <v>0</v>
      </c>
      <c r="J84" s="270">
        <f t="shared" si="12"/>
        <v>0</v>
      </c>
      <c r="K84" s="270">
        <f t="shared" si="9"/>
        <v>0</v>
      </c>
      <c r="L84" s="463">
        <f t="shared" si="3"/>
        <v>0</v>
      </c>
      <c r="M84"/>
      <c r="N84"/>
      <c r="O84"/>
      <c r="P84"/>
      <c r="Q84"/>
      <c r="R84"/>
    </row>
    <row r="85" spans="3:18" ht="38.25" customHeight="1">
      <c r="C85" s="94" t="s">
        <v>76</v>
      </c>
      <c r="D85" s="43">
        <v>0</v>
      </c>
      <c r="E85" s="205">
        <f>IF(OR('9. Medicaid Admin Costs'!$F$5="Apply to TSS Tab 6",'9. Medicaid Admin Costs'!$F$5="Apply to All"),(SUMIF('9. Medicaid Admin Costs'!$D$41:$D$48,"Ongoing - Annually",'9. Medicaid Admin Costs'!$I$41:$I$48)+SUMIF('9. Medicaid Admin Costs'!$D$41:$D$48,"Ongoing - Monthly",'9. Medicaid Admin Costs'!$I$41:$I$48)+SUMIF('9. Medicaid Admin Costs'!$D$41:$D$48,"Ongoing - Quarterly",'9. Medicaid Admin Costs'!$I$41:$I$48)),0)</f>
        <v>0</v>
      </c>
      <c r="F85" s="523">
        <f t="shared" si="10"/>
        <v>0</v>
      </c>
      <c r="G85" s="95">
        <f>SUM('8. General Startup Costs'!$F$47:$F$50)+(IF(OR('9. Medicaid Admin Costs'!$F$5="Apply to TSS Tab 6",'9. Medicaid Admin Costs'!$F$5="Apply to All"),SUMIF('9. Medicaid Admin Costs'!$D$41:$D$48,"Start Up",'9. Medicaid Admin Costs'!$I$41:$I$48),0))</f>
        <v>0</v>
      </c>
      <c r="H85"/>
      <c r="I85" s="472">
        <f t="shared" si="11"/>
        <v>0</v>
      </c>
      <c r="J85" s="270">
        <f t="shared" si="12"/>
        <v>0</v>
      </c>
      <c r="K85" s="270">
        <f t="shared" si="9"/>
        <v>0</v>
      </c>
      <c r="L85" s="463">
        <f t="shared" si="3"/>
        <v>0</v>
      </c>
      <c r="M85"/>
      <c r="N85"/>
      <c r="O85"/>
      <c r="P85"/>
      <c r="Q85"/>
      <c r="R85"/>
    </row>
    <row r="86" spans="3:18">
      <c r="C86" s="96" t="s">
        <v>77</v>
      </c>
      <c r="D86" s="269">
        <v>0</v>
      </c>
      <c r="E86" s="483"/>
      <c r="F86" s="523">
        <f t="shared" si="10"/>
        <v>0</v>
      </c>
      <c r="G86" s="533"/>
      <c r="H86"/>
      <c r="I86" s="472">
        <f t="shared" si="11"/>
        <v>0</v>
      </c>
      <c r="J86" s="270">
        <f t="shared" si="12"/>
        <v>0</v>
      </c>
      <c r="K86" s="270">
        <f t="shared" si="9"/>
        <v>0</v>
      </c>
      <c r="L86" s="463">
        <f t="shared" si="3"/>
        <v>0</v>
      </c>
      <c r="M86"/>
      <c r="N86"/>
      <c r="O86"/>
      <c r="P86"/>
      <c r="Q86"/>
      <c r="R86"/>
    </row>
    <row r="87" spans="3:18">
      <c r="C87" s="106" t="s">
        <v>339</v>
      </c>
      <c r="D87" s="210">
        <v>0</v>
      </c>
      <c r="E87" s="484"/>
      <c r="F87" s="526">
        <f t="shared" si="10"/>
        <v>0</v>
      </c>
      <c r="G87" s="534"/>
      <c r="H87"/>
      <c r="I87" s="472">
        <f t="shared" si="11"/>
        <v>0</v>
      </c>
      <c r="J87" s="199">
        <f t="shared" si="12"/>
        <v>0</v>
      </c>
      <c r="K87" s="199">
        <f t="shared" si="9"/>
        <v>0</v>
      </c>
      <c r="L87" s="486">
        <f t="shared" si="3"/>
        <v>0</v>
      </c>
      <c r="M87"/>
      <c r="N87"/>
      <c r="O87"/>
      <c r="P87"/>
      <c r="Q87"/>
      <c r="R87"/>
    </row>
    <row r="88" spans="3:18" ht="22.5" customHeight="1">
      <c r="C88" s="107" t="s">
        <v>78</v>
      </c>
      <c r="D88" s="261">
        <f>SUM(D65:D72)+SUM(D76:D87)</f>
        <v>0</v>
      </c>
      <c r="E88" s="487">
        <f>SUM(E65:E72)+SUM(E76:E87)</f>
        <v>0</v>
      </c>
      <c r="F88" s="487">
        <f>SUM(F65:F72)+SUM(F76:F87)</f>
        <v>0</v>
      </c>
      <c r="G88" s="99">
        <f>SUM(G65:G72)+SUM(G76:G87)</f>
        <v>0</v>
      </c>
      <c r="H88"/>
      <c r="I88" s="187">
        <f>SUM(I65:I72)+SUM(I76:I87)</f>
        <v>0</v>
      </c>
      <c r="J88" s="465">
        <f>SUM(J65:J72)+SUM(J76:J87)</f>
        <v>0</v>
      </c>
      <c r="K88" s="465">
        <f>SUM(K65:K72)+SUM(K76:K87)</f>
        <v>0</v>
      </c>
      <c r="L88" s="115">
        <f>SUM(L65:L72)+SUM(L76:L87)</f>
        <v>0</v>
      </c>
      <c r="M88"/>
      <c r="N88"/>
      <c r="O88"/>
      <c r="P88"/>
      <c r="Q88"/>
      <c r="R88"/>
    </row>
    <row r="89" spans="3:18">
      <c r="C89" s="100"/>
      <c r="D89" s="263"/>
      <c r="E89" s="467"/>
      <c r="F89" s="521"/>
      <c r="G89" s="101"/>
      <c r="H89"/>
      <c r="I89" s="468"/>
      <c r="J89" s="263"/>
      <c r="K89" s="263"/>
      <c r="L89" s="114"/>
      <c r="M89"/>
      <c r="N89"/>
      <c r="O89"/>
      <c r="P89"/>
      <c r="Q89"/>
      <c r="R89"/>
    </row>
    <row r="90" spans="3:18">
      <c r="C90" s="102" t="s">
        <v>79</v>
      </c>
      <c r="D90" s="262">
        <f>D62+D88</f>
        <v>0</v>
      </c>
      <c r="E90" s="205">
        <f>SUM(E62,E88)</f>
        <v>52800</v>
      </c>
      <c r="F90" s="527">
        <f>F62+F88</f>
        <v>52800</v>
      </c>
      <c r="G90" s="95">
        <f ca="1">SUM(G62,G88)</f>
        <v>0</v>
      </c>
      <c r="H90"/>
      <c r="I90" s="488">
        <f ca="1">I62+I88</f>
        <v>52800</v>
      </c>
      <c r="J90" s="262">
        <f ca="1">J62+J88</f>
        <v>56760</v>
      </c>
      <c r="K90" s="262">
        <f ca="1">K62+K88</f>
        <v>61017</v>
      </c>
      <c r="L90" s="116">
        <f ca="1">I90+J90+K90</f>
        <v>170577</v>
      </c>
      <c r="M90"/>
      <c r="N90"/>
      <c r="O90"/>
      <c r="P90"/>
      <c r="Q90"/>
      <c r="R90"/>
    </row>
    <row r="91" spans="3:18" ht="16.5" thickBot="1">
      <c r="C91" s="102" t="s">
        <v>80</v>
      </c>
      <c r="D91" s="262">
        <f>D90*'3. Basic Input &amp; Assumptions'!K15</f>
        <v>0</v>
      </c>
      <c r="E91" s="205">
        <f>E90*'3. Basic Input &amp; Assumptions'!$K$15</f>
        <v>7920</v>
      </c>
      <c r="F91" s="606">
        <f>F90*'3. Basic Input &amp; Assumptions'!$K$15</f>
        <v>7920</v>
      </c>
      <c r="G91" s="95">
        <f ca="1">G90*'3. Basic Input &amp; Assumptions'!$K$15</f>
        <v>0</v>
      </c>
      <c r="H91"/>
      <c r="I91" s="488">
        <f ca="1">I90*'3. Basic Input &amp; Assumptions'!$K$15</f>
        <v>7920</v>
      </c>
      <c r="J91" s="262">
        <f ca="1">J90*'3. Basic Input &amp; Assumptions'!$K$15</f>
        <v>8514</v>
      </c>
      <c r="K91" s="262">
        <f ca="1">K90*'3. Basic Input &amp; Assumptions'!$K$15</f>
        <v>9152.5499999999993</v>
      </c>
      <c r="L91" s="116">
        <f ca="1">I91+J91+K91</f>
        <v>25586.55</v>
      </c>
      <c r="M91"/>
      <c r="N91"/>
      <c r="O91"/>
      <c r="P91"/>
      <c r="Q91"/>
      <c r="R91"/>
    </row>
    <row r="92" spans="3:18" ht="16.5" thickBot="1">
      <c r="C92" s="93" t="s">
        <v>81</v>
      </c>
      <c r="D92" s="261">
        <f>D90+D91</f>
        <v>0</v>
      </c>
      <c r="E92" s="460">
        <f>SUM(E90:E91)</f>
        <v>60720</v>
      </c>
      <c r="F92" s="603">
        <f>F90+F91</f>
        <v>60720</v>
      </c>
      <c r="G92" s="115">
        <f ca="1">SUM(G90:G91)</f>
        <v>0</v>
      </c>
      <c r="H92"/>
      <c r="I92" s="461">
        <f ca="1">I90+I91</f>
        <v>60720</v>
      </c>
      <c r="J92" s="261">
        <f ca="1">J90+J91</f>
        <v>65274</v>
      </c>
      <c r="K92" s="261">
        <f ca="1">K90+K91</f>
        <v>70169.55</v>
      </c>
      <c r="L92" s="115">
        <f ca="1">I92+J92+K92</f>
        <v>196163.55</v>
      </c>
      <c r="M92"/>
      <c r="N92"/>
      <c r="O92"/>
      <c r="P92"/>
      <c r="Q92"/>
      <c r="R92"/>
    </row>
    <row r="93" spans="3:18">
      <c r="C93" s="108"/>
      <c r="D93" s="263"/>
      <c r="E93" s="467"/>
      <c r="F93" s="607"/>
      <c r="G93" s="101"/>
      <c r="H93"/>
      <c r="I93" s="468"/>
      <c r="J93" s="263"/>
      <c r="K93" s="263"/>
      <c r="L93" s="114"/>
      <c r="M93"/>
      <c r="N93"/>
      <c r="O93"/>
      <c r="P93"/>
      <c r="Q93"/>
      <c r="R93"/>
    </row>
    <row r="94" spans="3:18" ht="16.5" thickBot="1">
      <c r="C94" s="120" t="s">
        <v>82</v>
      </c>
      <c r="D94" s="264"/>
      <c r="E94" s="469"/>
      <c r="F94" s="522"/>
      <c r="G94" s="121"/>
      <c r="H94"/>
      <c r="I94" s="470"/>
      <c r="J94" s="264"/>
      <c r="K94" s="264"/>
      <c r="L94" s="118"/>
      <c r="M94"/>
      <c r="N94"/>
      <c r="O94"/>
      <c r="P94"/>
      <c r="Q94"/>
      <c r="R94"/>
    </row>
    <row r="95" spans="3:18" ht="18" customHeight="1" thickTop="1">
      <c r="C95" s="119" t="s">
        <v>83</v>
      </c>
      <c r="D95" s="204">
        <v>0</v>
      </c>
      <c r="E95" s="207"/>
      <c r="F95" s="527">
        <f t="shared" ref="F95:F101" si="13">D95</f>
        <v>0</v>
      </c>
      <c r="G95" s="530"/>
      <c r="H95"/>
      <c r="I95" s="488">
        <f>D95</f>
        <v>0</v>
      </c>
      <c r="J95" s="204">
        <f>I95</f>
        <v>0</v>
      </c>
      <c r="K95" s="204">
        <f>J95</f>
        <v>0</v>
      </c>
      <c r="L95" s="462">
        <f t="shared" ref="L95:L101" si="14">I95+J95+K95</f>
        <v>0</v>
      </c>
      <c r="M95"/>
      <c r="N95"/>
      <c r="O95"/>
      <c r="P95"/>
      <c r="Q95"/>
      <c r="R95"/>
    </row>
    <row r="96" spans="3:18">
      <c r="C96" s="94" t="s">
        <v>31</v>
      </c>
      <c r="D96" s="43">
        <v>0</v>
      </c>
      <c r="E96" s="467"/>
      <c r="F96" s="527">
        <f t="shared" si="13"/>
        <v>0</v>
      </c>
      <c r="G96" s="101"/>
      <c r="H96"/>
      <c r="I96" s="488">
        <f t="shared" ref="I96:I100" si="15">D96</f>
        <v>0</v>
      </c>
      <c r="J96" s="43">
        <f t="shared" ref="J96:K100" si="16">I96</f>
        <v>0</v>
      </c>
      <c r="K96" s="43">
        <f t="shared" si="16"/>
        <v>0</v>
      </c>
      <c r="L96" s="463">
        <f t="shared" si="14"/>
        <v>0</v>
      </c>
      <c r="M96"/>
      <c r="N96"/>
      <c r="O96"/>
      <c r="P96"/>
      <c r="Q96"/>
      <c r="R96"/>
    </row>
    <row r="97" spans="3:18">
      <c r="C97" s="94" t="s">
        <v>32</v>
      </c>
      <c r="D97" s="43"/>
      <c r="E97" s="467"/>
      <c r="F97" s="527">
        <f t="shared" si="13"/>
        <v>0</v>
      </c>
      <c r="G97" s="101"/>
      <c r="H97"/>
      <c r="I97" s="488">
        <f t="shared" si="15"/>
        <v>0</v>
      </c>
      <c r="J97" s="43">
        <f t="shared" si="16"/>
        <v>0</v>
      </c>
      <c r="K97" s="43">
        <f t="shared" si="16"/>
        <v>0</v>
      </c>
      <c r="L97" s="463">
        <f t="shared" si="14"/>
        <v>0</v>
      </c>
      <c r="M97"/>
      <c r="N97"/>
      <c r="O97"/>
      <c r="P97"/>
      <c r="Q97"/>
      <c r="R97"/>
    </row>
    <row r="98" spans="3:18">
      <c r="C98" s="94" t="s">
        <v>33</v>
      </c>
      <c r="D98" s="43">
        <v>0</v>
      </c>
      <c r="E98" s="467"/>
      <c r="F98" s="527">
        <f t="shared" si="13"/>
        <v>0</v>
      </c>
      <c r="G98" s="101"/>
      <c r="H98"/>
      <c r="I98" s="488">
        <f t="shared" si="15"/>
        <v>0</v>
      </c>
      <c r="J98" s="43">
        <f t="shared" si="16"/>
        <v>0</v>
      </c>
      <c r="K98" s="43">
        <f t="shared" si="16"/>
        <v>0</v>
      </c>
      <c r="L98" s="463">
        <f t="shared" si="14"/>
        <v>0</v>
      </c>
      <c r="M98"/>
      <c r="N98"/>
      <c r="O98"/>
      <c r="P98"/>
      <c r="Q98"/>
      <c r="R98"/>
    </row>
    <row r="99" spans="3:18">
      <c r="C99" s="94" t="s">
        <v>343</v>
      </c>
      <c r="D99" s="262">
        <f>IF(D47="15-minute increments",D25*D44*D49,IF(D47="Per diem",D25*D44*D49,IF(D47="Per member per month",(D18+F18)*D44*D49,0)))</f>
        <v>0</v>
      </c>
      <c r="E99" s="467"/>
      <c r="F99" s="527">
        <f t="shared" si="13"/>
        <v>0</v>
      </c>
      <c r="G99" s="101"/>
      <c r="H99"/>
      <c r="I99" s="488">
        <f t="shared" si="15"/>
        <v>0</v>
      </c>
      <c r="J99" s="489">
        <f t="shared" si="16"/>
        <v>0</v>
      </c>
      <c r="K99" s="489">
        <f t="shared" si="16"/>
        <v>0</v>
      </c>
      <c r="L99" s="463">
        <f t="shared" si="14"/>
        <v>0</v>
      </c>
      <c r="M99"/>
      <c r="N99"/>
      <c r="O99"/>
      <c r="P99"/>
      <c r="Q99"/>
      <c r="R99"/>
    </row>
    <row r="100" spans="3:18">
      <c r="C100" s="106" t="s">
        <v>35</v>
      </c>
      <c r="D100" s="210">
        <v>0</v>
      </c>
      <c r="E100" s="484"/>
      <c r="F100" s="526">
        <f t="shared" si="13"/>
        <v>0</v>
      </c>
      <c r="G100" s="534"/>
      <c r="H100"/>
      <c r="I100" s="517">
        <f t="shared" si="15"/>
        <v>0</v>
      </c>
      <c r="J100" s="210">
        <f t="shared" si="16"/>
        <v>0</v>
      </c>
      <c r="K100" s="210">
        <f t="shared" si="16"/>
        <v>0</v>
      </c>
      <c r="L100" s="486">
        <f t="shared" si="14"/>
        <v>0</v>
      </c>
      <c r="M100"/>
      <c r="N100"/>
      <c r="O100"/>
      <c r="P100"/>
      <c r="Q100"/>
      <c r="R100"/>
    </row>
    <row r="101" spans="3:18">
      <c r="C101" s="107" t="s">
        <v>84</v>
      </c>
      <c r="D101" s="261">
        <f>SUM(D95:D100)</f>
        <v>0</v>
      </c>
      <c r="E101" s="207"/>
      <c r="F101" s="487">
        <f t="shared" si="13"/>
        <v>0</v>
      </c>
      <c r="G101" s="530"/>
      <c r="H101"/>
      <c r="I101" s="187">
        <f>SUM(I95:I100)</f>
        <v>0</v>
      </c>
      <c r="J101" s="471">
        <f>SUM(J95:J100)</f>
        <v>0</v>
      </c>
      <c r="K101" s="471">
        <f>SUM(K95:K100)</f>
        <v>0</v>
      </c>
      <c r="L101" s="462">
        <f t="shared" si="14"/>
        <v>0</v>
      </c>
      <c r="M101"/>
      <c r="N101"/>
      <c r="O101"/>
      <c r="P101"/>
      <c r="Q101"/>
      <c r="R101"/>
    </row>
    <row r="102" spans="3:18" ht="16.5" thickBot="1">
      <c r="C102" s="109"/>
      <c r="D102" s="266"/>
      <c r="E102" s="491"/>
      <c r="F102" s="605"/>
      <c r="G102" s="110"/>
      <c r="H102"/>
      <c r="I102" s="492"/>
      <c r="J102" s="266"/>
      <c r="K102" s="266"/>
      <c r="L102" s="117"/>
      <c r="M102"/>
      <c r="N102"/>
      <c r="O102"/>
      <c r="P102"/>
      <c r="Q102"/>
      <c r="R102"/>
    </row>
    <row r="103" spans="3:18" ht="16.5" thickBot="1">
      <c r="C103" s="111" t="s">
        <v>85</v>
      </c>
      <c r="D103" s="267">
        <f>D101-D92</f>
        <v>0</v>
      </c>
      <c r="E103" s="596"/>
      <c r="F103" s="603">
        <f>F101-F92</f>
        <v>-60720</v>
      </c>
      <c r="G103" s="494"/>
      <c r="H103"/>
      <c r="I103" s="493">
        <f ca="1">I101-I92</f>
        <v>-60720</v>
      </c>
      <c r="J103" s="495">
        <f ca="1">J101-J92</f>
        <v>-65274</v>
      </c>
      <c r="K103" s="267">
        <f ca="1">K101-K92</f>
        <v>-70169.55</v>
      </c>
      <c r="L103" s="496">
        <f ca="1">L101-L92</f>
        <v>-196163.55</v>
      </c>
      <c r="M103"/>
      <c r="N103"/>
      <c r="O103"/>
      <c r="P103"/>
      <c r="Q103"/>
      <c r="R103"/>
    </row>
    <row r="104" spans="3:18" ht="16.5" thickBot="1">
      <c r="C104" s="49"/>
      <c r="F104" s="20"/>
      <c r="H104"/>
      <c r="I104" s="19"/>
      <c r="J104" s="19"/>
      <c r="M104"/>
      <c r="N104"/>
      <c r="O104"/>
      <c r="P104"/>
      <c r="Q104"/>
      <c r="R104"/>
    </row>
    <row r="105" spans="3:18" ht="19.5" customHeight="1" thickBot="1">
      <c r="C105" s="770">
        <f>D99/(F92)</f>
        <v>0</v>
      </c>
      <c r="D105" s="771"/>
      <c r="F105"/>
      <c r="G105" s="19"/>
      <c r="H105" s="19"/>
      <c r="I105" s="268" t="s">
        <v>163</v>
      </c>
      <c r="J105" s="127">
        <f>'3. Basic Input &amp; Assumptions'!$K$19</f>
        <v>7.4999999999999997E-2</v>
      </c>
      <c r="M105"/>
      <c r="N105"/>
      <c r="O105"/>
      <c r="P105"/>
      <c r="Q105"/>
      <c r="R105"/>
    </row>
    <row r="106" spans="3:18" ht="18.75" customHeight="1">
      <c r="C106" s="721" t="s">
        <v>369</v>
      </c>
      <c r="D106" s="721"/>
      <c r="F106"/>
    </row>
    <row r="107" spans="3:18" ht="15.75" customHeight="1">
      <c r="C107" s="722"/>
      <c r="D107" s="722"/>
    </row>
    <row r="108" spans="3:18">
      <c r="C108" s="722"/>
      <c r="D108" s="722"/>
    </row>
    <row r="109" spans="3:18">
      <c r="C109" s="442"/>
      <c r="D109" s="442"/>
    </row>
  </sheetData>
  <sheetProtection algorithmName="SHA-512" hashValue="GxyzmpDojo2MCfTKbiMySoKWufVyB4PWfLYuyj2fj/zZgivPte6MaJqb0GHXFwHwOW9Vm3wqTwqegftJy6r+0w==" saltValue="sYfjkW8d7JCy2SlyWgPvPA==" spinCount="100000" sheet="1" objects="1" scenarios="1"/>
  <mergeCells count="25">
    <mergeCell ref="C106:D108"/>
    <mergeCell ref="G17:H17"/>
    <mergeCell ref="C9:D9"/>
    <mergeCell ref="C21:E21"/>
    <mergeCell ref="C105:D105"/>
    <mergeCell ref="C36:D36"/>
    <mergeCell ref="C46:D46"/>
    <mergeCell ref="F28:H28"/>
    <mergeCell ref="F29:H29"/>
    <mergeCell ref="F31:H31"/>
    <mergeCell ref="E43:I43"/>
    <mergeCell ref="G14:H14"/>
    <mergeCell ref="G15:H15"/>
    <mergeCell ref="G16:H16"/>
    <mergeCell ref="G18:H18"/>
    <mergeCell ref="C54:G54"/>
    <mergeCell ref="E48:I48"/>
    <mergeCell ref="F23:H23"/>
    <mergeCell ref="F24:H24"/>
    <mergeCell ref="I54:L54"/>
    <mergeCell ref="I5:J5"/>
    <mergeCell ref="G11:H11"/>
    <mergeCell ref="G12:H12"/>
    <mergeCell ref="G13:H13"/>
    <mergeCell ref="C5:G5"/>
  </mergeCells>
  <conditionalFormatting sqref="C105:D105">
    <cfRule type="expression" dxfId="11" priority="4">
      <formula>$D$99&gt;0</formula>
    </cfRule>
  </conditionalFormatting>
  <conditionalFormatting sqref="E48">
    <cfRule type="expression" dxfId="10" priority="3">
      <formula>AND($D$48&lt;&gt;0,OR($D$47="15-minute increments",$D$47="Per diem",$D$47="Per member per month"))</formula>
    </cfRule>
  </conditionalFormatting>
  <dataValidations count="1">
    <dataValidation type="whole" allowBlank="1" showInputMessage="1" showErrorMessage="1" sqref="D12:D17 F12:F17" xr:uid="{CE130B97-DAE7-4B35-87E9-A7DDC3886228}">
      <formula1>0</formula1>
      <formula2>100000</formula2>
    </dataValidation>
  </dataValidations>
  <pageMargins left="0.25" right="0.25"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211122D-C7F1-4CD0-A781-460B6BFC9BED}">
          <x14:formula1>
            <xm:f>'LISTS - DO NOT EDIT'!$A$7:$A$13</xm:f>
          </x14:formula1>
          <xm:sqref>C12:C17</xm:sqref>
        </x14:dataValidation>
        <x14:dataValidation type="list" allowBlank="1" showInputMessage="1" showErrorMessage="1" xr:uid="{3180AFAF-A653-4226-83D4-DDA31099F73A}">
          <x14:formula1>
            <xm:f>'LISTS - DO NOT EDIT'!$A$20:$A$23</xm:f>
          </x14:formula1>
          <xm:sqref>D47</xm:sqref>
        </x14:dataValidation>
        <x14:dataValidation type="list" allowBlank="1" showInputMessage="1" showErrorMessage="1" xr:uid="{20211A92-68F9-42B5-9B36-AAFC6A5CA593}">
          <x14:formula1>
            <xm:f>'LISTS - DO NOT EDIT'!$E$1:$E$2</xm:f>
          </x14:formula1>
          <xm:sqref>E9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B1:R103"/>
  <sheetViews>
    <sheetView showGridLines="0" zoomScaleNormal="100" workbookViewId="0">
      <selection activeCell="D42" sqref="D42"/>
    </sheetView>
  </sheetViews>
  <sheetFormatPr defaultColWidth="9.140625" defaultRowHeight="15"/>
  <cols>
    <col min="1" max="2" width="2.85546875" customWidth="1"/>
    <col min="3" max="3" width="38.140625" customWidth="1"/>
    <col min="4" max="5" width="27.85546875" customWidth="1"/>
    <col min="6" max="6" width="27.85546875" style="542" customWidth="1"/>
    <col min="7" max="7" width="26" style="298" customWidth="1"/>
    <col min="8" max="8" width="2.140625" style="298" customWidth="1"/>
    <col min="9" max="10" width="24.85546875" style="298" customWidth="1"/>
    <col min="11" max="12" width="24.85546875" customWidth="1"/>
    <col min="13" max="13" width="25.140625" customWidth="1"/>
    <col min="14" max="14" width="9.140625" customWidth="1"/>
    <col min="15" max="15" width="24.28515625" customWidth="1"/>
    <col min="16" max="16" width="21.7109375" customWidth="1"/>
    <col min="17" max="17" width="17" customWidth="1"/>
    <col min="18" max="18" width="19.7109375" customWidth="1"/>
  </cols>
  <sheetData>
    <row r="1" spans="2:18" s="537" customFormat="1">
      <c r="B1" s="535"/>
      <c r="C1" s="536"/>
      <c r="D1" s="536"/>
    </row>
    <row r="2" spans="2:18" ht="36" customHeight="1">
      <c r="C2" s="538"/>
      <c r="D2" s="539"/>
      <c r="E2" s="441" t="s">
        <v>182</v>
      </c>
      <c r="F2" s="540"/>
    </row>
    <row r="3" spans="2:18">
      <c r="C3" s="538"/>
      <c r="D3" s="539"/>
      <c r="E3" s="539"/>
      <c r="F3" s="540"/>
    </row>
    <row r="4" spans="2:18">
      <c r="C4" s="541" t="s">
        <v>183</v>
      </c>
    </row>
    <row r="5" spans="2:18" ht="142.5" customHeight="1">
      <c r="C5" s="772" t="s">
        <v>184</v>
      </c>
      <c r="D5" s="772"/>
      <c r="E5" s="772"/>
      <c r="F5" s="772"/>
      <c r="G5" s="772"/>
      <c r="H5" s="772"/>
      <c r="I5"/>
      <c r="J5" s="544"/>
    </row>
    <row r="6" spans="2:18" ht="11.25" customHeight="1">
      <c r="C6" s="543"/>
      <c r="D6" s="543"/>
      <c r="E6" s="543"/>
      <c r="F6" s="543"/>
      <c r="G6" s="543"/>
      <c r="H6" s="543"/>
      <c r="I6" s="208"/>
      <c r="J6" s="544"/>
    </row>
    <row r="7" spans="2:18">
      <c r="C7" s="541" t="s">
        <v>381</v>
      </c>
      <c r="O7" s="296"/>
    </row>
    <row r="8" spans="2:18" s="19" customFormat="1" ht="6" customHeight="1">
      <c r="F8" s="21"/>
      <c r="G8" s="20"/>
      <c r="H8" s="20"/>
      <c r="I8" s="20"/>
      <c r="J8" s="20"/>
      <c r="K8" s="169" t="s">
        <v>177</v>
      </c>
    </row>
    <row r="9" spans="2:18" s="19" customFormat="1" ht="15.75">
      <c r="C9" s="675" t="s">
        <v>384</v>
      </c>
      <c r="D9" s="675"/>
      <c r="E9" s="62" t="s">
        <v>88</v>
      </c>
      <c r="I9" s="20"/>
      <c r="L9"/>
      <c r="M9"/>
      <c r="N9"/>
      <c r="O9"/>
      <c r="P9"/>
      <c r="Q9"/>
      <c r="R9"/>
    </row>
    <row r="10" spans="2:18" s="19" customFormat="1" ht="6.75" customHeight="1">
      <c r="C10" s="49"/>
      <c r="I10" s="20"/>
      <c r="L10"/>
      <c r="M10"/>
      <c r="N10"/>
      <c r="O10"/>
      <c r="P10"/>
      <c r="Q10"/>
      <c r="R10"/>
    </row>
    <row r="11" spans="2:18" ht="18.75" customHeight="1">
      <c r="C11" s="301" t="s">
        <v>167</v>
      </c>
      <c r="D11" s="301" t="s">
        <v>378</v>
      </c>
      <c r="E11" s="545" t="s">
        <v>178</v>
      </c>
      <c r="F11" s="546" t="s">
        <v>379</v>
      </c>
      <c r="G11" s="773" t="s">
        <v>178</v>
      </c>
      <c r="H11" s="773"/>
      <c r="I11" s="545"/>
      <c r="J11" s="545"/>
      <c r="K11" s="547" t="s">
        <v>132</v>
      </c>
    </row>
    <row r="12" spans="2:18" ht="18.75" customHeight="1">
      <c r="B12" s="548">
        <v>1</v>
      </c>
      <c r="C12" s="138" t="s">
        <v>180</v>
      </c>
      <c r="D12" s="139"/>
      <c r="E12" s="549" t="str">
        <f>IF(OR(C12="",C12="Select"),"",IF($E$9="No",VLOOKUP(C12,'3. Basic Input &amp; Assumptions'!$C$47:$I$49,6,FALSE),VLOOKUP(C12,'3. Basic Input &amp; Assumptions'!$C$47:$I$49,4,FALSE)))</f>
        <v/>
      </c>
      <c r="F12" s="139"/>
      <c r="G12" s="774" t="str">
        <f>IF(OR(C12="",C12="Select"),"",IF($E$9="No",VLOOKUP(C12,'3. Basic Input &amp; Assumptions'!$C$47:$I$49,7,FALSE),VLOOKUP(C12,'3. Basic Input &amp; Assumptions'!$C$47:$I$49,5,FALSE)))</f>
        <v/>
      </c>
      <c r="H12" s="774"/>
      <c r="I12" s="550"/>
      <c r="J12" s="550"/>
      <c r="K12" s="551">
        <f>IF(E12="",0,(IF(D12&gt;0,D12/E12,0)+IF(F12&gt;0,F12/G12,0)))</f>
        <v>0</v>
      </c>
    </row>
    <row r="13" spans="2:18" ht="18.75" customHeight="1">
      <c r="B13" s="548">
        <v>2</v>
      </c>
      <c r="C13" s="138" t="s">
        <v>180</v>
      </c>
      <c r="D13" s="139"/>
      <c r="E13" s="549" t="str">
        <f>IF(OR(C13="",C13="Select"),"",IF($E$9="No",VLOOKUP(C13,'3. Basic Input &amp; Assumptions'!$C$47:$I$49,6,FALSE),VLOOKUP(C13,'3. Basic Input &amp; Assumptions'!$C$47:$I$49,4,FALSE)))</f>
        <v/>
      </c>
      <c r="F13" s="139"/>
      <c r="G13" s="774" t="str">
        <f>IF(OR(C13="",C13="Select"),"",IF($E$9="No",VLOOKUP(C13,'3. Basic Input &amp; Assumptions'!$C$47:$I$49,7,FALSE),VLOOKUP(C13,'3. Basic Input &amp; Assumptions'!$C$47:$I$49,5,FALSE)))</f>
        <v/>
      </c>
      <c r="H13" s="774"/>
      <c r="I13" s="550"/>
      <c r="J13" s="550"/>
      <c r="K13" s="551">
        <f>IF(E13="",0,(IF(D13&gt;0,D13/E13,0)+IF(F13&gt;0,F13/G13,0)))</f>
        <v>0</v>
      </c>
    </row>
    <row r="14" spans="2:18" ht="18.75" customHeight="1" thickBot="1">
      <c r="B14" s="548">
        <v>3</v>
      </c>
      <c r="C14" s="140" t="s">
        <v>180</v>
      </c>
      <c r="D14" s="141"/>
      <c r="E14" s="549" t="str">
        <f>IF(OR(C14="",C14="Select"),"",IF($E$9="No",VLOOKUP(C14,'3. Basic Input &amp; Assumptions'!$C$47:$I$49,6,FALSE),VLOOKUP(C14,'3. Basic Input &amp; Assumptions'!$C$47:$I$49,4,FALSE)))</f>
        <v/>
      </c>
      <c r="F14" s="141"/>
      <c r="G14" s="774" t="str">
        <f>IF(OR(C14="",C14="Select"),"",IF($E$9="No",VLOOKUP(C14,'3. Basic Input &amp; Assumptions'!$C$47:$I$49,7,FALSE),VLOOKUP(C14,'3. Basic Input &amp; Assumptions'!$C$47:$I$49,5,FALSE)))</f>
        <v/>
      </c>
      <c r="H14" s="774"/>
      <c r="I14" s="550"/>
      <c r="J14" s="550"/>
      <c r="K14" s="551">
        <f>IF(E14="",0,(IF(D14&gt;0,D14/E14,0)+IF(F14&gt;0,F14/G14,0)))</f>
        <v>0</v>
      </c>
    </row>
    <row r="15" spans="2:18" ht="15.75" thickBot="1">
      <c r="C15" s="552" t="s">
        <v>133</v>
      </c>
      <c r="D15" s="553">
        <f>SUMIF(C12:C14,"&lt;&gt;Select",D12:D14)</f>
        <v>0</v>
      </c>
      <c r="E15" s="554"/>
      <c r="F15" s="555">
        <f>SUMIF(C12:C14,"&lt;&gt;Select",F12:F14)</f>
        <v>0</v>
      </c>
      <c r="G15" s="775"/>
      <c r="H15" s="776"/>
      <c r="I15" s="556"/>
      <c r="J15" s="556"/>
      <c r="K15" s="296"/>
    </row>
    <row r="16" spans="2:18" ht="23.25" customHeight="1">
      <c r="I16" s="299"/>
      <c r="J16" s="299"/>
      <c r="K16" s="296"/>
    </row>
    <row r="17" spans="2:18" ht="24" customHeight="1">
      <c r="C17" s="627" t="s">
        <v>408</v>
      </c>
      <c r="I17" s="299"/>
      <c r="J17" s="299"/>
      <c r="K17" s="296"/>
    </row>
    <row r="18" spans="2:18">
      <c r="C18" s="301" t="s">
        <v>399</v>
      </c>
      <c r="D18" s="546" t="s">
        <v>134</v>
      </c>
      <c r="E18" s="546" t="s">
        <v>135</v>
      </c>
      <c r="I18" s="299"/>
      <c r="J18" s="299"/>
      <c r="K18" s="296"/>
    </row>
    <row r="19" spans="2:18">
      <c r="C19" s="558" t="s">
        <v>185</v>
      </c>
      <c r="D19" s="167"/>
      <c r="E19" s="142">
        <v>45000</v>
      </c>
      <c r="F19" s="777">
        <f>ROUNDUP(SUM(K12:K14),0)</f>
        <v>0</v>
      </c>
      <c r="G19" s="778"/>
      <c r="H19" s="778"/>
    </row>
    <row r="20" spans="2:18">
      <c r="C20" s="561" t="s">
        <v>187</v>
      </c>
      <c r="D20" s="167"/>
      <c r="E20" s="168">
        <v>60000</v>
      </c>
      <c r="F20" s="641"/>
      <c r="G20" s="642"/>
      <c r="H20" s="642"/>
      <c r="I20" s="563"/>
      <c r="J20" s="563"/>
      <c r="K20" s="563"/>
    </row>
    <row r="21" spans="2:18">
      <c r="C21" s="559" t="s">
        <v>140</v>
      </c>
      <c r="D21" s="560">
        <f>D19+D20</f>
        <v>0</v>
      </c>
      <c r="F21" s="639"/>
      <c r="G21" s="643"/>
      <c r="H21" s="643"/>
      <c r="O21" s="296"/>
    </row>
    <row r="22" spans="2:18" ht="4.5" customHeight="1">
      <c r="F22" s="644"/>
      <c r="G22" s="643"/>
      <c r="H22" s="643"/>
      <c r="L22" s="557"/>
    </row>
    <row r="23" spans="2:18">
      <c r="C23" s="301" t="s">
        <v>377</v>
      </c>
      <c r="F23" s="644"/>
      <c r="G23" s="643"/>
      <c r="H23" s="643"/>
      <c r="L23" s="557"/>
    </row>
    <row r="24" spans="2:18">
      <c r="C24" s="561" t="s">
        <v>141</v>
      </c>
      <c r="D24" s="167"/>
      <c r="E24" s="168">
        <v>68000</v>
      </c>
      <c r="F24" s="631"/>
      <c r="G24" s="632"/>
      <c r="H24" s="632"/>
      <c r="I24" s="562"/>
      <c r="J24" s="562"/>
      <c r="K24" s="562"/>
    </row>
    <row r="25" spans="2:18">
      <c r="C25" s="561" t="s">
        <v>142</v>
      </c>
      <c r="D25" s="167"/>
      <c r="E25" s="168">
        <v>32000</v>
      </c>
      <c r="F25" s="641"/>
      <c r="G25" s="642"/>
      <c r="H25" s="642"/>
      <c r="I25" s="563"/>
      <c r="J25" s="563"/>
      <c r="K25" s="563"/>
    </row>
    <row r="26" spans="2:18">
      <c r="C26" s="561" t="s">
        <v>186</v>
      </c>
      <c r="D26" s="167"/>
      <c r="E26" s="168">
        <v>60000</v>
      </c>
      <c r="F26" s="779">
        <f>ROUNDUP(D19/8,0)</f>
        <v>0</v>
      </c>
      <c r="G26" s="780"/>
      <c r="H26" s="780"/>
      <c r="M26" s="564"/>
      <c r="N26" s="564"/>
    </row>
    <row r="27" spans="2:18">
      <c r="C27" s="565" t="s">
        <v>145</v>
      </c>
      <c r="D27" s="566">
        <f>D21+SUM(D24:D26)</f>
        <v>0</v>
      </c>
      <c r="E27" s="567"/>
      <c r="F27" s="563"/>
      <c r="G27" s="563"/>
      <c r="H27" s="563"/>
      <c r="I27" s="563"/>
      <c r="J27" s="563"/>
      <c r="K27" s="563"/>
    </row>
    <row r="28" spans="2:18">
      <c r="F28"/>
      <c r="G28"/>
      <c r="H28"/>
      <c r="I28"/>
      <c r="J28"/>
    </row>
    <row r="29" spans="2:18" s="19" customFormat="1" ht="16.5" thickBot="1">
      <c r="C29" s="49"/>
      <c r="D29" s="229"/>
      <c r="E29" s="229"/>
      <c r="F29" s="228"/>
      <c r="G29" s="228"/>
      <c r="H29" s="229"/>
      <c r="I29" s="227"/>
      <c r="J29"/>
      <c r="K29"/>
      <c r="L29"/>
      <c r="M29"/>
      <c r="N29"/>
      <c r="O29"/>
      <c r="P29"/>
      <c r="Q29"/>
      <c r="R29"/>
    </row>
    <row r="30" spans="2:18" s="19" customFormat="1" ht="15.75">
      <c r="B30" s="230"/>
      <c r="C30" s="231" t="s">
        <v>402</v>
      </c>
      <c r="D30" s="232"/>
      <c r="E30" s="232"/>
      <c r="F30" s="233"/>
      <c r="G30" s="233"/>
      <c r="H30" s="232"/>
      <c r="I30" s="234"/>
      <c r="J30"/>
      <c r="K30"/>
      <c r="L30"/>
      <c r="M30"/>
      <c r="N30"/>
      <c r="O30"/>
      <c r="P30"/>
      <c r="Q30"/>
      <c r="R30"/>
    </row>
    <row r="31" spans="2:18" s="19" customFormat="1" ht="15.75" customHeight="1">
      <c r="B31" s="235"/>
      <c r="C31" s="732" t="s">
        <v>353</v>
      </c>
      <c r="D31" s="732"/>
      <c r="E31" s="221"/>
      <c r="F31"/>
      <c r="G31"/>
      <c r="H31" s="221"/>
      <c r="I31" s="236"/>
      <c r="J31"/>
      <c r="K31"/>
      <c r="L31"/>
      <c r="M31"/>
      <c r="N31"/>
      <c r="O31"/>
      <c r="P31"/>
      <c r="Q31"/>
      <c r="R31"/>
    </row>
    <row r="32" spans="2:18" s="19" customFormat="1" ht="15.75">
      <c r="B32" s="235"/>
      <c r="C32" s="237" t="s">
        <v>146</v>
      </c>
      <c r="D32" s="9">
        <v>40</v>
      </c>
      <c r="E32" s="238"/>
      <c r="F32"/>
      <c r="G32"/>
      <c r="H32" s="239"/>
      <c r="I32" s="240"/>
      <c r="J32"/>
      <c r="K32"/>
      <c r="L32"/>
      <c r="M32"/>
      <c r="N32"/>
      <c r="O32"/>
      <c r="P32"/>
      <c r="Q32"/>
      <c r="R32"/>
    </row>
    <row r="33" spans="2:18" s="19" customFormat="1" ht="15.75">
      <c r="B33" s="235"/>
      <c r="C33" s="237" t="s">
        <v>147</v>
      </c>
      <c r="D33" s="9">
        <v>10</v>
      </c>
      <c r="E33" s="631" t="s">
        <v>148</v>
      </c>
      <c r="F33" s="564"/>
      <c r="G33" s="564"/>
      <c r="H33" s="632"/>
      <c r="I33" s="633"/>
      <c r="J33"/>
      <c r="K33"/>
      <c r="L33"/>
      <c r="M33"/>
      <c r="N33"/>
      <c r="O33"/>
      <c r="P33"/>
      <c r="Q33"/>
      <c r="R33"/>
    </row>
    <row r="34" spans="2:18" s="19" customFormat="1" ht="15.75">
      <c r="B34" s="235"/>
      <c r="C34" s="241" t="s">
        <v>149</v>
      </c>
      <c r="D34" s="9">
        <v>20</v>
      </c>
      <c r="E34" s="631" t="s">
        <v>150</v>
      </c>
      <c r="F34" s="564"/>
      <c r="G34" s="564"/>
      <c r="H34" s="632"/>
      <c r="I34" s="633"/>
      <c r="J34"/>
      <c r="K34"/>
      <c r="L34"/>
      <c r="M34"/>
      <c r="N34"/>
      <c r="O34"/>
      <c r="P34"/>
      <c r="Q34"/>
      <c r="R34"/>
    </row>
    <row r="35" spans="2:18" s="19" customFormat="1" ht="15.75">
      <c r="B35" s="235"/>
      <c r="C35" s="241" t="s">
        <v>151</v>
      </c>
      <c r="D35" s="9">
        <v>3</v>
      </c>
      <c r="E35" s="631" t="s">
        <v>152</v>
      </c>
      <c r="F35" s="564"/>
      <c r="G35" s="564"/>
      <c r="H35" s="632"/>
      <c r="I35" s="633"/>
      <c r="J35"/>
      <c r="K35"/>
      <c r="L35"/>
      <c r="M35"/>
      <c r="N35"/>
      <c r="O35"/>
      <c r="P35"/>
      <c r="Q35"/>
      <c r="R35"/>
    </row>
    <row r="36" spans="2:18" s="19" customFormat="1" ht="15.75">
      <c r="B36" s="235"/>
      <c r="C36" s="241" t="s">
        <v>153</v>
      </c>
      <c r="D36" s="166">
        <v>1</v>
      </c>
      <c r="E36" s="631" t="s">
        <v>154</v>
      </c>
      <c r="F36" s="564"/>
      <c r="G36" s="564"/>
      <c r="H36" s="632"/>
      <c r="I36" s="633"/>
      <c r="J36"/>
      <c r="K36"/>
      <c r="L36"/>
      <c r="M36"/>
      <c r="N36"/>
      <c r="O36"/>
      <c r="P36"/>
      <c r="Q36"/>
      <c r="R36"/>
    </row>
    <row r="37" spans="2:18" s="19" customFormat="1" ht="15.75">
      <c r="B37" s="235"/>
      <c r="C37" s="241" t="s">
        <v>158</v>
      </c>
      <c r="D37" s="10">
        <v>0.75</v>
      </c>
      <c r="E37" s="631" t="s">
        <v>355</v>
      </c>
      <c r="F37" s="564"/>
      <c r="G37" s="564"/>
      <c r="H37" s="632"/>
      <c r="I37" s="633"/>
      <c r="J37"/>
      <c r="K37"/>
      <c r="L37"/>
      <c r="M37"/>
      <c r="N37"/>
      <c r="O37"/>
      <c r="P37"/>
      <c r="Q37"/>
      <c r="R37"/>
    </row>
    <row r="38" spans="2:18" s="19" customFormat="1" ht="15.75">
      <c r="B38" s="235"/>
      <c r="C38" s="241" t="s">
        <v>159</v>
      </c>
      <c r="D38" s="166">
        <f>ROUNDUP((D32*D37)/5,1)</f>
        <v>6</v>
      </c>
      <c r="E38" s="716">
        <f>ROUNDUP((D32*D37)/5,1)</f>
        <v>6</v>
      </c>
      <c r="F38" s="717"/>
      <c r="G38" s="717"/>
      <c r="H38" s="717"/>
      <c r="I38" s="718"/>
      <c r="J38"/>
      <c r="K38"/>
      <c r="L38"/>
      <c r="M38"/>
      <c r="N38"/>
      <c r="O38"/>
      <c r="P38"/>
      <c r="Q38"/>
      <c r="R38"/>
    </row>
    <row r="39" spans="2:18" s="19" customFormat="1" ht="15.75">
      <c r="B39" s="235"/>
      <c r="C39" s="241" t="str">
        <f>IF(OR(D42="15-minute increments",D42="Per diem"),"Annual UOS per FTE",IF(D42="Per member per month","Annual UOS per Client",""))</f>
        <v/>
      </c>
      <c r="D39" s="242" t="str">
        <f>IF(D42="15-minute increments",(((52*5)-SUM(D33:D36))/5)*D32*D37*4,IF(D42="Per diem",(((52*5)-SUM(D33:D36))*D38),IF(D42="Per member per month",12,"")))</f>
        <v/>
      </c>
      <c r="E39" s="175"/>
      <c r="F39"/>
      <c r="G39"/>
      <c r="H39" s="175"/>
      <c r="I39" s="243"/>
      <c r="J39"/>
      <c r="K39"/>
      <c r="L39"/>
      <c r="M39"/>
      <c r="N39"/>
      <c r="O39"/>
      <c r="P39"/>
      <c r="Q39"/>
      <c r="R39"/>
    </row>
    <row r="40" spans="2:18" s="19" customFormat="1" ht="15.75">
      <c r="B40" s="235"/>
      <c r="C40" s="244"/>
      <c r="D40"/>
      <c r="E40" s="245"/>
      <c r="F40"/>
      <c r="G40"/>
      <c r="H40" s="245"/>
      <c r="I40" s="240"/>
      <c r="J40"/>
      <c r="K40"/>
      <c r="L40"/>
      <c r="M40"/>
      <c r="N40"/>
      <c r="O40"/>
      <c r="P40"/>
      <c r="Q40"/>
      <c r="R40"/>
    </row>
    <row r="41" spans="2:18" s="19" customFormat="1" ht="15.75" customHeight="1">
      <c r="B41" s="235"/>
      <c r="C41" s="732" t="s">
        <v>342</v>
      </c>
      <c r="D41" s="732"/>
      <c r="E41" s="245"/>
      <c r="F41"/>
      <c r="G41"/>
      <c r="H41" s="245"/>
      <c r="I41" s="240"/>
      <c r="J41"/>
      <c r="K41"/>
      <c r="L41"/>
      <c r="M41"/>
      <c r="N41"/>
      <c r="O41"/>
      <c r="P41"/>
      <c r="Q41"/>
      <c r="R41"/>
    </row>
    <row r="42" spans="2:18" s="19" customFormat="1" ht="15.75">
      <c r="B42" s="235"/>
      <c r="C42" s="241" t="s">
        <v>155</v>
      </c>
      <c r="D42" s="574" t="s">
        <v>180</v>
      </c>
      <c r="E42" s="246"/>
      <c r="F42"/>
      <c r="G42"/>
      <c r="H42" s="247"/>
      <c r="I42" s="240"/>
      <c r="J42"/>
      <c r="K42"/>
      <c r="L42"/>
      <c r="M42"/>
      <c r="N42"/>
      <c r="O42"/>
      <c r="P42"/>
      <c r="Q42"/>
      <c r="R42"/>
    </row>
    <row r="43" spans="2:18" s="19" customFormat="1" ht="15.75">
      <c r="B43" s="235"/>
      <c r="C43" s="241" t="s">
        <v>367</v>
      </c>
      <c r="D43" s="594">
        <v>0</v>
      </c>
      <c r="E43" s="729" t="str">
        <f>IF(AND(OR(SUM(D15:F15)=0,SUM(D15:F15)=""),OR(D42="Select",D42="")),"",IF(AND(OR(D42="15-minute increments",D42="Per diem",D42="Per member per month"),OR(SUM(D15:F15)=0,SUM(D15:F15)=""),D21&gt;0),"Please fill in your target populations above in section 1", IF(AND(OR(D42="15-minute increments",D42="Per diem",D42="Per member per month"),OR(D21="",D21=0),SUM(D15:F15)&gt;0),"Please fill in your billing staff above in section 2a",IF(AND(OR(D42="15-minute increments",D42="Per diem",D42="Per member per month"),OR(SUM(D15:F15)="",SUM(D15:F15)=0),OR(D21=0,D21="")),"Please fill in your target populations and billing staff above in sections 1 and 2a",IF(D42="15-minute increments",((F87)/D21/D39)*D43,IF(D42="Per diem",((F87)/D21/D39)*D43,IF(D42="Per member per month",((F87)/SUM(D15:F15)/D39)*D43,"")))))))</f>
        <v/>
      </c>
      <c r="F43" s="730"/>
      <c r="G43" s="730"/>
      <c r="H43" s="730"/>
      <c r="I43" s="731"/>
      <c r="J43"/>
      <c r="K43"/>
      <c r="L43"/>
      <c r="M43"/>
      <c r="N43"/>
      <c r="O43"/>
      <c r="P43"/>
      <c r="Q43"/>
      <c r="R43"/>
    </row>
    <row r="44" spans="2:18" s="19" customFormat="1" ht="17.25" customHeight="1">
      <c r="B44" s="235"/>
      <c r="C44" s="241" t="s">
        <v>157</v>
      </c>
      <c r="D44" s="617">
        <v>0</v>
      </c>
      <c r="I44" s="602"/>
      <c r="J44"/>
      <c r="K44"/>
      <c r="L44"/>
      <c r="M44"/>
      <c r="N44"/>
      <c r="O44"/>
      <c r="P44"/>
      <c r="Q44"/>
      <c r="R44"/>
    </row>
    <row r="45" spans="2:18" s="19" customFormat="1" ht="6.75" customHeight="1" thickBot="1">
      <c r="B45" s="248"/>
      <c r="C45" s="249"/>
      <c r="D45" s="250"/>
      <c r="E45" s="251"/>
      <c r="F45" s="252"/>
      <c r="G45" s="252"/>
      <c r="H45" s="251"/>
      <c r="I45" s="253"/>
      <c r="J45"/>
      <c r="K45"/>
      <c r="L45"/>
      <c r="M45"/>
      <c r="N45"/>
      <c r="O45"/>
      <c r="P45"/>
      <c r="Q45"/>
      <c r="R45"/>
    </row>
    <row r="46" spans="2:18" s="19" customFormat="1" ht="15.75">
      <c r="C46" s="244"/>
      <c r="D46" s="226"/>
      <c r="E46" s="226"/>
      <c r="F46" s="254"/>
      <c r="G46" s="254"/>
      <c r="H46" s="226"/>
      <c r="I46" s="20"/>
      <c r="J46"/>
      <c r="K46"/>
      <c r="L46"/>
      <c r="M46"/>
      <c r="N46"/>
      <c r="O46"/>
      <c r="P46"/>
      <c r="Q46"/>
      <c r="R46"/>
    </row>
    <row r="47" spans="2:18" s="19" customFormat="1" ht="29.25" customHeight="1">
      <c r="C47" s="63" t="s">
        <v>356</v>
      </c>
      <c r="D47" s="255"/>
      <c r="E47" s="255"/>
      <c r="H47" s="255"/>
      <c r="I47" s="20"/>
      <c r="J47"/>
      <c r="K47"/>
      <c r="L47"/>
      <c r="M47"/>
      <c r="N47"/>
      <c r="O47"/>
      <c r="P47"/>
      <c r="Q47"/>
      <c r="R47"/>
    </row>
    <row r="48" spans="2:18" s="19" customFormat="1" ht="8.25" customHeight="1" thickBot="1">
      <c r="C48" s="49"/>
      <c r="L48"/>
      <c r="M48"/>
      <c r="N48"/>
      <c r="O48"/>
      <c r="P48"/>
      <c r="Q48"/>
      <c r="R48"/>
    </row>
    <row r="49" spans="3:18" s="19" customFormat="1" ht="16.5" thickBot="1">
      <c r="C49" s="670" t="s">
        <v>359</v>
      </c>
      <c r="D49" s="671"/>
      <c r="E49" s="671"/>
      <c r="F49" s="671"/>
      <c r="G49" s="672"/>
      <c r="H49"/>
      <c r="I49" s="670" t="s">
        <v>347</v>
      </c>
      <c r="J49" s="671"/>
      <c r="K49" s="671"/>
      <c r="L49" s="672"/>
      <c r="M49"/>
      <c r="N49"/>
      <c r="O49"/>
      <c r="P49"/>
      <c r="Q49"/>
      <c r="R49"/>
    </row>
    <row r="50" spans="3:18" s="19" customFormat="1" ht="31.5">
      <c r="C50" s="518"/>
      <c r="D50" s="453" t="s">
        <v>357</v>
      </c>
      <c r="E50" s="454" t="s">
        <v>354</v>
      </c>
      <c r="F50" s="519" t="s">
        <v>362</v>
      </c>
      <c r="G50" s="528" t="s">
        <v>363</v>
      </c>
      <c r="H50"/>
      <c r="I50" s="457" t="s">
        <v>160</v>
      </c>
      <c r="J50" s="458" t="s">
        <v>161</v>
      </c>
      <c r="K50" s="458" t="s">
        <v>162</v>
      </c>
      <c r="L50" s="459" t="s">
        <v>344</v>
      </c>
      <c r="M50"/>
      <c r="N50"/>
      <c r="O50"/>
      <c r="P50"/>
      <c r="Q50"/>
      <c r="R50"/>
    </row>
    <row r="51" spans="3:18" s="19" customFormat="1" ht="16.5" thickBot="1">
      <c r="C51" s="256" t="s">
        <v>42</v>
      </c>
      <c r="D51" s="257"/>
      <c r="E51" s="258"/>
      <c r="F51" s="257"/>
      <c r="G51" s="259"/>
      <c r="H51"/>
      <c r="I51" s="260"/>
      <c r="J51" s="257"/>
      <c r="K51" s="257"/>
      <c r="L51" s="259"/>
      <c r="M51"/>
      <c r="N51"/>
      <c r="O51"/>
      <c r="P51"/>
      <c r="Q51"/>
      <c r="R51"/>
    </row>
    <row r="52" spans="3:18" s="19" customFormat="1" ht="16.5" thickTop="1">
      <c r="C52" s="119" t="s">
        <v>49</v>
      </c>
      <c r="D52" s="261">
        <f>SUMPRODUCT(D19:D20,E19:E20)+SUMPRODUCT(D24:D26,E24:E26)</f>
        <v>0</v>
      </c>
      <c r="E52" s="460">
        <f>IF(OR('9. Medicaid Admin Costs'!$F$5="Apply to CTI Tab 7",'9. Medicaid Admin Costs'!$F$5="Apply to All"),(SUMIF('9. Medicaid Admin Costs'!$D$12:$D$14,"Ongoing - Annually",'9. Medicaid Admin Costs'!$I$12:$I$14)+SUMIF('9. Medicaid Admin Costs'!$D$12:$D$14,"Ongoing - Monthly",'9. Medicaid Admin Costs'!$I$12:$I$14)+SUMIF('9. Medicaid Admin Costs'!$D$12:$D$14,"Ongoing - Quarterly",'9. Medicaid Admin Costs'!$I$12:$I$14)),0)</f>
        <v>40000</v>
      </c>
      <c r="F52" s="487">
        <f t="shared" ref="F52:F57" si="0">D52+E52</f>
        <v>40000</v>
      </c>
      <c r="G52" s="530"/>
      <c r="H52"/>
      <c r="I52" s="461">
        <f>F52+G52</f>
        <v>40000</v>
      </c>
      <c r="J52" s="174">
        <f>F52*(1+$J$100)</f>
        <v>43000</v>
      </c>
      <c r="K52" s="174">
        <f>J52*(1+$J$100)</f>
        <v>46225</v>
      </c>
      <c r="L52" s="462">
        <f>I52+J52+K52</f>
        <v>129225</v>
      </c>
      <c r="M52"/>
      <c r="N52"/>
      <c r="O52"/>
      <c r="P52"/>
      <c r="Q52"/>
      <c r="R52"/>
    </row>
    <row r="53" spans="3:18" s="19" customFormat="1" ht="15.75">
      <c r="C53" s="94" t="s">
        <v>50</v>
      </c>
      <c r="D53" s="262">
        <f>D52*'3. Basic Input &amp; Assumptions'!K20</f>
        <v>0</v>
      </c>
      <c r="E53" s="205">
        <f>E52*'3. Basic Input &amp; Assumptions'!$K$20</f>
        <v>12800</v>
      </c>
      <c r="F53" s="487">
        <f t="shared" si="0"/>
        <v>12800</v>
      </c>
      <c r="G53" s="101"/>
      <c r="H53"/>
      <c r="I53" s="461">
        <f>I52*'3. Basic Input &amp; Assumptions'!$K$20</f>
        <v>12800</v>
      </c>
      <c r="J53" s="270">
        <f>J52*'3. Basic Input &amp; Assumptions'!$K$20</f>
        <v>13760</v>
      </c>
      <c r="K53" s="270">
        <f>(K52*'3. Basic Input &amp; Assumptions'!$K$20)</f>
        <v>14792</v>
      </c>
      <c r="L53" s="463">
        <f t="shared" ref="L53:L57" si="1">I53+J53+K53</f>
        <v>41352</v>
      </c>
      <c r="M53"/>
      <c r="N53"/>
      <c r="O53"/>
      <c r="P53"/>
      <c r="Q53"/>
      <c r="R53"/>
    </row>
    <row r="54" spans="3:18" s="19" customFormat="1" ht="15.75">
      <c r="C54" s="94" t="s">
        <v>51</v>
      </c>
      <c r="D54" s="43">
        <v>0</v>
      </c>
      <c r="E54" s="205">
        <f>IF(OR('9. Medicaid Admin Costs'!$F$5="Apply to CTI Tab 7",'9. Medicaid Admin Costs'!$F$5="Apply to All"),(SUMIF('9. Medicaid Admin Costs'!$D$16:$D$17,"Ongoing - Annually",'9. Medicaid Admin Costs'!$I$16:$I$17)+SUMIF('9. Medicaid Admin Costs'!$D$16:$D$17,"Ongoing - Monthly",'9. Medicaid Admin Costs'!$I$16:$I$17)+SUMIF('9. Medicaid Admin Costs'!$D$16:$D$17,"Ongoing - Quarterly",'9. Medicaid Admin Costs'!$I$16:$I$17)),0)</f>
        <v>0</v>
      </c>
      <c r="F54" s="487">
        <f t="shared" si="0"/>
        <v>0</v>
      </c>
      <c r="G54" s="95">
        <f ca="1">IF(OR('9. Medicaid Admin Costs'!$F$5="Apply to CTI Tab 7",'9. Medicaid Admin Costs'!$F$5="Apply to All"),SUMIF('9. Medicaid Admin Costs'!$D$16:DI$17,"Start Up",'9. Medicaid Admin Costs'!$I$16:$I$17),0)</f>
        <v>0</v>
      </c>
      <c r="H54"/>
      <c r="I54" s="461">
        <f ca="1">E54+F54+G54</f>
        <v>0</v>
      </c>
      <c r="J54" s="270">
        <f t="shared" ref="J54:K56" ca="1" si="2">I54*(1+$J$100)</f>
        <v>0</v>
      </c>
      <c r="K54" s="270">
        <f t="shared" ca="1" si="2"/>
        <v>0</v>
      </c>
      <c r="L54" s="463">
        <f t="shared" ca="1" si="1"/>
        <v>0</v>
      </c>
      <c r="M54"/>
      <c r="N54"/>
      <c r="O54"/>
      <c r="P54"/>
      <c r="Q54"/>
      <c r="R54"/>
    </row>
    <row r="55" spans="3:18" s="19" customFormat="1" ht="15.75">
      <c r="C55" s="94" t="s">
        <v>52</v>
      </c>
      <c r="D55" s="43">
        <v>0</v>
      </c>
      <c r="E55" s="205">
        <f>IF(OR('9. Medicaid Admin Costs'!$F$5="Apply to CTI Tab 7",'9. Medicaid Admin Costs'!$F$5="Apply to All"),(SUMIF('9. Medicaid Admin Costs'!$D$19,"Ongoing - Annually",'9. Medicaid Admin Costs'!$I$19)+SUMIF('9. Medicaid Admin Costs'!$D$19,"Ongoing - Monthly",'9. Medicaid Admin Costs'!$I$19)+SUMIF('9. Medicaid Admin Costs'!$D$19,"Ongoing - Quarterly",'9. Medicaid Admin Costs'!$I$19)),0)</f>
        <v>0</v>
      </c>
      <c r="F55" s="487">
        <f t="shared" si="0"/>
        <v>0</v>
      </c>
      <c r="G55" s="95">
        <f>SUM('8. General Startup Costs'!$F$10:$F$15)+(IF(OR('9. Medicaid Admin Costs'!$F$5="Apply to CTI Tab 7",'9. Medicaid Admin Costs'!$F$5="Apply to All"),SUMIF('9. Medicaid Admin Costs'!$D$19,"Start Up",'9. Medicaid Admin Costs'!$I$19),0))</f>
        <v>0</v>
      </c>
      <c r="H55"/>
      <c r="I55" s="461">
        <f>F55+G55</f>
        <v>0</v>
      </c>
      <c r="J55" s="270">
        <f t="shared" si="2"/>
        <v>0</v>
      </c>
      <c r="K55" s="270">
        <f t="shared" si="2"/>
        <v>0</v>
      </c>
      <c r="L55" s="463">
        <f t="shared" si="1"/>
        <v>0</v>
      </c>
      <c r="M55"/>
      <c r="N55"/>
      <c r="O55"/>
      <c r="P55"/>
      <c r="Q55"/>
      <c r="R55"/>
    </row>
    <row r="56" spans="3:18" s="19" customFormat="1" ht="15.75">
      <c r="C56" s="96" t="s">
        <v>53</v>
      </c>
      <c r="D56" s="622">
        <v>0</v>
      </c>
      <c r="E56" s="464">
        <f>IF(OR('9. Medicaid Admin Costs'!$F$5="Apply to CTI Tab 7",'9. Medicaid Admin Costs'!$F$5="Apply to All"),(SUMIF('9. Medicaid Admin Costs'!$D$21:$D$22,"Ongoing - Annually",'9. Medicaid Admin Costs'!$I$21:$I$22)+SUMIF('9. Medicaid Admin Costs'!$D$21:$D$22,"Ongoing - Monthly",'9. Medicaid Admin Costs'!$I$21:$I$22)+SUMIF('9. Medicaid Admin Costs'!$D$21:$D$22,"Ongoing - Quarterly",'9. Medicaid Admin Costs'!$I$21:$I$22)),0)</f>
        <v>0</v>
      </c>
      <c r="F56" s="487">
        <f t="shared" si="0"/>
        <v>0</v>
      </c>
      <c r="G56" s="200">
        <f>SUM('8. General Startup Costs'!$F$17:$F$20)+(IF(OR('9. Medicaid Admin Costs'!$F$5="Apply to CTI Tab 7",'9. Medicaid Admin Costs'!$F$5="Apply to All"),SUMIF('9. Medicaid Admin Costs'!$D$21:$D$22,"Start Up",'9. Medicaid Admin Costs'!$I$21:$I$22),0))</f>
        <v>0</v>
      </c>
      <c r="H56"/>
      <c r="I56" s="461">
        <f>F56+G56</f>
        <v>0</v>
      </c>
      <c r="J56" s="270">
        <f t="shared" si="2"/>
        <v>0</v>
      </c>
      <c r="K56" s="270">
        <f t="shared" si="2"/>
        <v>0</v>
      </c>
      <c r="L56" s="463">
        <f t="shared" si="1"/>
        <v>0</v>
      </c>
      <c r="M56"/>
      <c r="N56"/>
      <c r="O56"/>
      <c r="P56"/>
      <c r="Q56"/>
      <c r="R56"/>
    </row>
    <row r="57" spans="3:18" s="19" customFormat="1" ht="15.75">
      <c r="C57" s="98" t="s">
        <v>54</v>
      </c>
      <c r="D57" s="261">
        <f>SUM(D52:D56)</f>
        <v>0</v>
      </c>
      <c r="E57" s="206">
        <f>SUM(E52:E56)</f>
        <v>52800</v>
      </c>
      <c r="F57" s="520">
        <f t="shared" si="0"/>
        <v>52800</v>
      </c>
      <c r="G57" s="209">
        <f ca="1">SUM(G52:G56)</f>
        <v>0</v>
      </c>
      <c r="H57"/>
      <c r="I57" s="466">
        <f ca="1">SUM(I52:I56)</f>
        <v>52800</v>
      </c>
      <c r="J57" s="465">
        <f ca="1">SUM(J52:J56)</f>
        <v>56760</v>
      </c>
      <c r="K57" s="465">
        <f ca="1">SUM(K52:K56)</f>
        <v>61017</v>
      </c>
      <c r="L57" s="113">
        <f t="shared" ca="1" si="1"/>
        <v>170577</v>
      </c>
      <c r="M57"/>
      <c r="N57"/>
      <c r="O57"/>
      <c r="P57"/>
      <c r="Q57"/>
      <c r="R57"/>
    </row>
    <row r="58" spans="3:18" s="19" customFormat="1" ht="15.75">
      <c r="C58" s="100"/>
      <c r="D58" s="263"/>
      <c r="E58" s="467"/>
      <c r="F58" s="521"/>
      <c r="G58" s="101"/>
      <c r="H58"/>
      <c r="I58" s="468"/>
      <c r="J58" s="263"/>
      <c r="K58" s="263"/>
      <c r="L58" s="114"/>
      <c r="M58"/>
      <c r="N58"/>
      <c r="O58"/>
      <c r="P58"/>
      <c r="Q58"/>
      <c r="R58"/>
    </row>
    <row r="59" spans="3:18" s="19" customFormat="1" ht="16.5" thickBot="1">
      <c r="C59" s="120" t="s">
        <v>55</v>
      </c>
      <c r="D59" s="264"/>
      <c r="E59" s="469"/>
      <c r="F59" s="522"/>
      <c r="G59" s="121"/>
      <c r="H59"/>
      <c r="I59" s="470"/>
      <c r="J59" s="264"/>
      <c r="K59" s="264"/>
      <c r="L59" s="118"/>
      <c r="M59"/>
      <c r="N59"/>
      <c r="O59"/>
      <c r="P59"/>
      <c r="Q59"/>
      <c r="R59"/>
    </row>
    <row r="60" spans="3:18" s="19" customFormat="1" ht="16.5" thickTop="1">
      <c r="C60" s="119" t="s">
        <v>56</v>
      </c>
      <c r="D60" s="204">
        <v>0</v>
      </c>
      <c r="E60" s="207"/>
      <c r="F60" s="523">
        <f>D60+E60</f>
        <v>0</v>
      </c>
      <c r="G60" s="99">
        <f>'8. General Startup Costs'!$F$24</f>
        <v>0</v>
      </c>
      <c r="H60"/>
      <c r="I60" s="472">
        <f>F60+G60</f>
        <v>0</v>
      </c>
      <c r="J60" s="174">
        <f>I60*(1+$J$100)</f>
        <v>0</v>
      </c>
      <c r="K60" s="174">
        <f>J60*(1+$J$100)</f>
        <v>0</v>
      </c>
      <c r="L60" s="462">
        <f t="shared" ref="L60:L82" si="3">I60+J60+K60</f>
        <v>0</v>
      </c>
      <c r="M60"/>
      <c r="N60"/>
      <c r="O60"/>
      <c r="P60"/>
      <c r="Q60"/>
      <c r="R60"/>
    </row>
    <row r="61" spans="3:18" s="19" customFormat="1" ht="15.75">
      <c r="C61" s="94" t="s">
        <v>57</v>
      </c>
      <c r="D61" s="43">
        <v>0</v>
      </c>
      <c r="E61" s="467"/>
      <c r="F61" s="523">
        <f>D61+E61</f>
        <v>0</v>
      </c>
      <c r="G61" s="95">
        <f>'8. General Startup Costs'!$F$25</f>
        <v>0</v>
      </c>
      <c r="H61"/>
      <c r="I61" s="472">
        <f t="shared" ref="I61:I62" si="4">F61+G61</f>
        <v>0</v>
      </c>
      <c r="J61" s="174">
        <f t="shared" ref="J61:K68" si="5">I61*(1+$J$100)</f>
        <v>0</v>
      </c>
      <c r="K61" s="174">
        <f t="shared" si="5"/>
        <v>0</v>
      </c>
      <c r="L61" s="463">
        <f t="shared" si="3"/>
        <v>0</v>
      </c>
      <c r="M61"/>
      <c r="N61"/>
      <c r="O61"/>
      <c r="P61"/>
      <c r="Q61"/>
      <c r="R61"/>
    </row>
    <row r="62" spans="3:18" s="19" customFormat="1" ht="15.75">
      <c r="C62" s="94" t="s">
        <v>58</v>
      </c>
      <c r="D62" s="43">
        <v>0</v>
      </c>
      <c r="E62" s="467"/>
      <c r="F62" s="523">
        <f t="shared" ref="F62:F66" si="6">D62+E62</f>
        <v>0</v>
      </c>
      <c r="G62" s="95">
        <f>'8. General Startup Costs'!$F$26</f>
        <v>0</v>
      </c>
      <c r="H62"/>
      <c r="I62" s="472">
        <f t="shared" si="4"/>
        <v>0</v>
      </c>
      <c r="J62" s="174">
        <f t="shared" si="5"/>
        <v>0</v>
      </c>
      <c r="K62" s="174">
        <f t="shared" si="5"/>
        <v>0</v>
      </c>
      <c r="L62" s="463">
        <f t="shared" si="3"/>
        <v>0</v>
      </c>
      <c r="M62"/>
      <c r="N62"/>
      <c r="O62"/>
      <c r="P62"/>
      <c r="Q62"/>
      <c r="R62"/>
    </row>
    <row r="63" spans="3:18" s="19" customFormat="1" ht="15.75">
      <c r="C63" s="94" t="s">
        <v>59</v>
      </c>
      <c r="D63" s="43">
        <v>0</v>
      </c>
      <c r="E63" s="467"/>
      <c r="F63" s="523">
        <f t="shared" si="6"/>
        <v>0</v>
      </c>
      <c r="G63" s="101"/>
      <c r="H63"/>
      <c r="I63" s="472">
        <f>F63+G63</f>
        <v>0</v>
      </c>
      <c r="J63" s="174">
        <f t="shared" si="5"/>
        <v>0</v>
      </c>
      <c r="K63" s="174">
        <f t="shared" si="5"/>
        <v>0</v>
      </c>
      <c r="L63" s="463">
        <f t="shared" si="3"/>
        <v>0</v>
      </c>
      <c r="M63"/>
      <c r="N63"/>
      <c r="O63"/>
      <c r="P63"/>
      <c r="Q63"/>
      <c r="R63"/>
    </row>
    <row r="64" spans="3:18" s="19" customFormat="1" ht="31.5" customHeight="1">
      <c r="C64" s="94" t="s">
        <v>60</v>
      </c>
      <c r="D64" s="43">
        <v>0</v>
      </c>
      <c r="E64" s="467"/>
      <c r="F64" s="523">
        <f t="shared" si="6"/>
        <v>0</v>
      </c>
      <c r="G64" s="95">
        <f>'8. General Startup Costs'!$F$27</f>
        <v>0</v>
      </c>
      <c r="H64"/>
      <c r="I64" s="472">
        <f t="shared" ref="I64:I66" si="7">F64+G64</f>
        <v>0</v>
      </c>
      <c r="J64" s="174">
        <f t="shared" si="5"/>
        <v>0</v>
      </c>
      <c r="K64" s="174">
        <f t="shared" si="5"/>
        <v>0</v>
      </c>
      <c r="L64" s="463">
        <f t="shared" si="3"/>
        <v>0</v>
      </c>
      <c r="M64"/>
      <c r="N64"/>
      <c r="O64"/>
      <c r="P64"/>
      <c r="Q64"/>
      <c r="R64"/>
    </row>
    <row r="65" spans="3:18" s="19" customFormat="1" ht="15.75">
      <c r="C65" s="94" t="s">
        <v>61</v>
      </c>
      <c r="D65" s="43">
        <v>0</v>
      </c>
      <c r="E65" s="467"/>
      <c r="F65" s="523">
        <f t="shared" si="6"/>
        <v>0</v>
      </c>
      <c r="G65" s="95">
        <f>'8. General Startup Costs'!$F$28</f>
        <v>0</v>
      </c>
      <c r="H65"/>
      <c r="I65" s="472">
        <f t="shared" si="7"/>
        <v>0</v>
      </c>
      <c r="J65" s="174">
        <f t="shared" si="5"/>
        <v>0</v>
      </c>
      <c r="K65" s="174">
        <f t="shared" si="5"/>
        <v>0</v>
      </c>
      <c r="L65" s="463">
        <f t="shared" si="3"/>
        <v>0</v>
      </c>
      <c r="M65"/>
      <c r="N65"/>
      <c r="O65"/>
      <c r="P65"/>
      <c r="Q65"/>
      <c r="R65"/>
    </row>
    <row r="66" spans="3:18" s="19" customFormat="1" ht="15.75">
      <c r="C66" s="94" t="s">
        <v>62</v>
      </c>
      <c r="D66" s="43">
        <v>0</v>
      </c>
      <c r="E66" s="205">
        <f>IF(OR('9. Medicaid Admin Costs'!$F$5="Apply to CTI Tab 7",'9. Medicaid Admin Costs'!$F$5="Apply to All"),(SUMIF('9. Medicaid Admin Costs'!$D$28,"Ongoing - Annually",'9. Medicaid Admin Costs'!$I$28)+SUMIF('9. Medicaid Admin Costs'!$D$28,"Ongoing - Monthly",'9. Medicaid Admin Costs'!$I$28)+SUMIF('9. Medicaid Admin Costs'!$D$28,"Ongoing - Quarterly",'9. Medicaid Admin Costs'!$I$28)),0)</f>
        <v>0</v>
      </c>
      <c r="F66" s="523">
        <f t="shared" si="6"/>
        <v>0</v>
      </c>
      <c r="G66" s="101"/>
      <c r="H66"/>
      <c r="I66" s="472">
        <f t="shared" si="7"/>
        <v>0</v>
      </c>
      <c r="J66" s="174">
        <f t="shared" si="5"/>
        <v>0</v>
      </c>
      <c r="K66" s="174">
        <f t="shared" si="5"/>
        <v>0</v>
      </c>
      <c r="L66" s="463">
        <f t="shared" si="3"/>
        <v>0</v>
      </c>
      <c r="M66"/>
      <c r="N66"/>
      <c r="O66"/>
      <c r="P66"/>
      <c r="Q66"/>
      <c r="R66"/>
    </row>
    <row r="67" spans="3:18" s="19" customFormat="1" ht="15.75">
      <c r="C67" s="103" t="s">
        <v>63</v>
      </c>
      <c r="D67" s="265">
        <f>D68*D69*D70*((52*5)-SUM(D33:D36))</f>
        <v>0</v>
      </c>
      <c r="E67" s="467"/>
      <c r="F67" s="523">
        <f>D67</f>
        <v>0</v>
      </c>
      <c r="G67" s="101"/>
      <c r="H67"/>
      <c r="I67" s="472">
        <f>F67</f>
        <v>0</v>
      </c>
      <c r="J67" s="174">
        <f t="shared" si="5"/>
        <v>0</v>
      </c>
      <c r="K67" s="174">
        <f t="shared" si="5"/>
        <v>0</v>
      </c>
      <c r="L67" s="463">
        <f t="shared" si="3"/>
        <v>0</v>
      </c>
      <c r="M67"/>
      <c r="N67"/>
      <c r="O67"/>
      <c r="P67"/>
      <c r="Q67"/>
      <c r="R67"/>
    </row>
    <row r="68" spans="3:18" s="19" customFormat="1" ht="15.75">
      <c r="C68" s="104" t="s">
        <v>64</v>
      </c>
      <c r="D68" s="303">
        <f>'3. Basic Input &amp; Assumptions'!K18</f>
        <v>0.67</v>
      </c>
      <c r="E68" s="473"/>
      <c r="F68" s="524">
        <f>D68</f>
        <v>0.67</v>
      </c>
      <c r="G68" s="531"/>
      <c r="H68" s="301"/>
      <c r="I68" s="476">
        <f>F68</f>
        <v>0.67</v>
      </c>
      <c r="J68" s="326">
        <f t="shared" si="5"/>
        <v>0.72025000000000006</v>
      </c>
      <c r="K68" s="326">
        <f t="shared" si="5"/>
        <v>0.77426875000000006</v>
      </c>
      <c r="L68" s="477">
        <f t="shared" si="3"/>
        <v>2.16451875</v>
      </c>
      <c r="M68"/>
      <c r="N68"/>
      <c r="O68"/>
      <c r="P68"/>
      <c r="Q68"/>
      <c r="R68"/>
    </row>
    <row r="69" spans="3:18" s="19" customFormat="1" ht="19.5" customHeight="1">
      <c r="C69" s="105" t="s">
        <v>65</v>
      </c>
      <c r="D69" s="305">
        <f>'3. Basic Input &amp; Assumptions'!K16+'3. Basic Input &amp; Assumptions'!K17</f>
        <v>25</v>
      </c>
      <c r="E69" s="478"/>
      <c r="F69" s="525">
        <f>D69</f>
        <v>25</v>
      </c>
      <c r="G69" s="532"/>
      <c r="H69" s="301"/>
      <c r="I69" s="481">
        <f>F69</f>
        <v>25</v>
      </c>
      <c r="J69" s="307">
        <f>D69</f>
        <v>25</v>
      </c>
      <c r="K69" s="307">
        <f>D69</f>
        <v>25</v>
      </c>
      <c r="L69" s="482">
        <f t="shared" si="3"/>
        <v>75</v>
      </c>
      <c r="M69"/>
      <c r="N69"/>
      <c r="O69"/>
      <c r="P69"/>
      <c r="Q69"/>
      <c r="R69"/>
    </row>
    <row r="70" spans="3:18" s="19" customFormat="1" ht="15.75">
      <c r="C70" s="105" t="s">
        <v>66</v>
      </c>
      <c r="D70" s="306">
        <v>0</v>
      </c>
      <c r="E70" s="478"/>
      <c r="F70" s="525">
        <f>D70</f>
        <v>0</v>
      </c>
      <c r="G70" s="532"/>
      <c r="H70" s="301"/>
      <c r="I70" s="481">
        <f>F70</f>
        <v>0</v>
      </c>
      <c r="J70" s="307">
        <f>I70</f>
        <v>0</v>
      </c>
      <c r="K70" s="307">
        <f>I70</f>
        <v>0</v>
      </c>
      <c r="L70" s="482">
        <f t="shared" si="3"/>
        <v>0</v>
      </c>
      <c r="M70"/>
      <c r="N70"/>
      <c r="O70"/>
      <c r="P70"/>
      <c r="Q70"/>
      <c r="R70"/>
    </row>
    <row r="71" spans="3:18" s="19" customFormat="1" ht="15.75">
      <c r="C71" s="94" t="s">
        <v>67</v>
      </c>
      <c r="D71" s="43">
        <v>0</v>
      </c>
      <c r="E71" s="467"/>
      <c r="F71" s="523">
        <f>D71+E71</f>
        <v>0</v>
      </c>
      <c r="G71" s="95">
        <f>'8. General Startup Costs'!$F$29</f>
        <v>0</v>
      </c>
      <c r="H71"/>
      <c r="I71" s="472">
        <f>F71+G71</f>
        <v>0</v>
      </c>
      <c r="J71" s="270">
        <f>F71*(1+$J$100)</f>
        <v>0</v>
      </c>
      <c r="K71" s="270">
        <f>J71*(1+$J$100)</f>
        <v>0</v>
      </c>
      <c r="L71" s="463">
        <f t="shared" si="3"/>
        <v>0</v>
      </c>
      <c r="M71"/>
      <c r="N71"/>
      <c r="O71"/>
      <c r="P71"/>
      <c r="Q71"/>
      <c r="R71"/>
    </row>
    <row r="72" spans="3:18" s="19" customFormat="1" ht="15.75">
      <c r="C72" s="94" t="s">
        <v>68</v>
      </c>
      <c r="D72" s="43">
        <v>0</v>
      </c>
      <c r="E72" s="467"/>
      <c r="F72" s="523">
        <f t="shared" ref="F72:F82" si="8">D72+E72</f>
        <v>0</v>
      </c>
      <c r="G72" s="95">
        <f>'8. General Startup Costs'!$F$30</f>
        <v>0</v>
      </c>
      <c r="H72"/>
      <c r="I72" s="472">
        <f t="shared" ref="I72:I82" si="9">F72+G72</f>
        <v>0</v>
      </c>
      <c r="J72" s="270">
        <f t="shared" ref="J72:J82" si="10">F72*(1+$J$100)</f>
        <v>0</v>
      </c>
      <c r="K72" s="270">
        <f t="shared" ref="K72:K82" si="11">J72*(1+$J$100)</f>
        <v>0</v>
      </c>
      <c r="L72" s="463">
        <f t="shared" si="3"/>
        <v>0</v>
      </c>
      <c r="M72"/>
      <c r="N72"/>
      <c r="O72"/>
      <c r="P72"/>
      <c r="Q72"/>
      <c r="R72"/>
    </row>
    <row r="73" spans="3:18" s="19" customFormat="1" ht="15.75">
      <c r="C73" s="94" t="s">
        <v>69</v>
      </c>
      <c r="D73" s="43">
        <v>0</v>
      </c>
      <c r="E73" s="467"/>
      <c r="F73" s="523">
        <f t="shared" si="8"/>
        <v>0</v>
      </c>
      <c r="G73" s="101"/>
      <c r="H73"/>
      <c r="I73" s="472">
        <f t="shared" si="9"/>
        <v>0</v>
      </c>
      <c r="J73" s="270">
        <f t="shared" si="10"/>
        <v>0</v>
      </c>
      <c r="K73" s="270">
        <f t="shared" si="11"/>
        <v>0</v>
      </c>
      <c r="L73" s="463">
        <f t="shared" si="3"/>
        <v>0</v>
      </c>
      <c r="M73"/>
      <c r="N73"/>
      <c r="O73"/>
      <c r="P73"/>
      <c r="Q73"/>
      <c r="R73"/>
    </row>
    <row r="74" spans="3:18" s="19" customFormat="1" ht="15.75">
      <c r="C74" s="94" t="s">
        <v>70</v>
      </c>
      <c r="D74" s="43">
        <v>0</v>
      </c>
      <c r="E74" s="467"/>
      <c r="F74" s="523">
        <f t="shared" si="8"/>
        <v>0</v>
      </c>
      <c r="G74" s="101"/>
      <c r="H74"/>
      <c r="I74" s="472">
        <f t="shared" si="9"/>
        <v>0</v>
      </c>
      <c r="J74" s="270">
        <f t="shared" si="10"/>
        <v>0</v>
      </c>
      <c r="K74" s="270">
        <f t="shared" si="11"/>
        <v>0</v>
      </c>
      <c r="L74" s="463">
        <f t="shared" si="3"/>
        <v>0</v>
      </c>
      <c r="M74"/>
      <c r="N74"/>
      <c r="O74"/>
      <c r="P74"/>
      <c r="Q74"/>
      <c r="R74"/>
    </row>
    <row r="75" spans="3:18" s="19" customFormat="1" ht="15.75">
      <c r="C75" s="94" t="s">
        <v>71</v>
      </c>
      <c r="D75" s="43">
        <v>0</v>
      </c>
      <c r="E75" s="467"/>
      <c r="F75" s="523">
        <f t="shared" si="8"/>
        <v>0</v>
      </c>
      <c r="G75" s="95">
        <f>'8. General Startup Costs'!$F$31</f>
        <v>0</v>
      </c>
      <c r="H75"/>
      <c r="I75" s="472">
        <f t="shared" si="9"/>
        <v>0</v>
      </c>
      <c r="J75" s="270">
        <f t="shared" si="10"/>
        <v>0</v>
      </c>
      <c r="K75" s="270">
        <f t="shared" si="11"/>
        <v>0</v>
      </c>
      <c r="L75" s="463">
        <f t="shared" si="3"/>
        <v>0</v>
      </c>
      <c r="M75"/>
      <c r="N75"/>
      <c r="O75"/>
      <c r="P75"/>
      <c r="Q75"/>
      <c r="R75"/>
    </row>
    <row r="76" spans="3:18" s="19" customFormat="1" ht="47.25">
      <c r="C76" s="94" t="s">
        <v>72</v>
      </c>
      <c r="D76" s="43">
        <v>0</v>
      </c>
      <c r="E76" s="205">
        <f>IF(OR('9. Medicaid Admin Costs'!$F$5="Apply to CTI Tab 7",'9. Medicaid Admin Costs'!$F$5="Apply to All"),(SUMIF('9. Medicaid Admin Costs'!$D$29:$D$40,"Ongoing - Annually",'9. Medicaid Admin Costs'!$I$29:$I$40)+SUMIF('9. Medicaid Admin Costs'!$D$29:$D$40,"Ongoing - Monthly",'9. Medicaid Admin Costs'!$I$29:$I$40)+SUMIF('9. Medicaid Admin Costs'!$D$29:$D$40,"Ongoing - Quarterly",'9. Medicaid Admin Costs'!$I$29:$I$40)),0)</f>
        <v>0</v>
      </c>
      <c r="F76" s="523">
        <f t="shared" si="8"/>
        <v>0</v>
      </c>
      <c r="G76" s="95">
        <f>SUM('8. General Startup Costs'!$F$33:$F$44)+(IF(OR('9. Medicaid Admin Costs'!$F$5="Apply to CTI Tab 7",'9. Medicaid Admin Costs'!$F$5="Apply to All"),SUMIF('9. Medicaid Admin Costs'!$D$29:$D$40,"Start Up",'9. Medicaid Admin Costs'!$I$29:$I$40),0))</f>
        <v>0</v>
      </c>
      <c r="H76"/>
      <c r="I76" s="472">
        <f t="shared" si="9"/>
        <v>0</v>
      </c>
      <c r="J76" s="270">
        <f t="shared" si="10"/>
        <v>0</v>
      </c>
      <c r="K76" s="270">
        <f t="shared" si="11"/>
        <v>0</v>
      </c>
      <c r="L76" s="463">
        <f t="shared" si="3"/>
        <v>0</v>
      </c>
      <c r="M76"/>
      <c r="N76"/>
      <c r="O76"/>
      <c r="P76"/>
      <c r="Q76"/>
      <c r="R76"/>
    </row>
    <row r="77" spans="3:18" s="19" customFormat="1" ht="63">
      <c r="C77" s="94" t="s">
        <v>73</v>
      </c>
      <c r="D77" s="43">
        <v>0</v>
      </c>
      <c r="E77" s="467"/>
      <c r="F77" s="523">
        <f t="shared" si="8"/>
        <v>0</v>
      </c>
      <c r="G77" s="95">
        <f>'8. General Startup Costs'!$F$45</f>
        <v>0</v>
      </c>
      <c r="H77"/>
      <c r="I77" s="472">
        <f t="shared" si="9"/>
        <v>0</v>
      </c>
      <c r="J77" s="270">
        <f t="shared" si="10"/>
        <v>0</v>
      </c>
      <c r="K77" s="270">
        <f t="shared" si="11"/>
        <v>0</v>
      </c>
      <c r="L77" s="463">
        <f t="shared" si="3"/>
        <v>0</v>
      </c>
      <c r="M77"/>
      <c r="N77"/>
      <c r="O77"/>
      <c r="P77"/>
      <c r="Q77"/>
      <c r="R77"/>
    </row>
    <row r="78" spans="3:18" s="19" customFormat="1" ht="15.75">
      <c r="C78" s="94" t="s">
        <v>74</v>
      </c>
      <c r="D78" s="43">
        <v>0</v>
      </c>
      <c r="E78" s="467"/>
      <c r="F78" s="523">
        <f t="shared" si="8"/>
        <v>0</v>
      </c>
      <c r="G78" s="101"/>
      <c r="H78"/>
      <c r="I78" s="472">
        <f t="shared" si="9"/>
        <v>0</v>
      </c>
      <c r="J78" s="270">
        <f t="shared" si="10"/>
        <v>0</v>
      </c>
      <c r="K78" s="270">
        <f t="shared" si="11"/>
        <v>0</v>
      </c>
      <c r="L78" s="463">
        <f t="shared" si="3"/>
        <v>0</v>
      </c>
      <c r="M78"/>
      <c r="N78"/>
      <c r="O78"/>
      <c r="P78"/>
      <c r="Q78"/>
      <c r="R78"/>
    </row>
    <row r="79" spans="3:18" s="19" customFormat="1" ht="15.75">
      <c r="C79" s="94" t="s">
        <v>75</v>
      </c>
      <c r="D79" s="43">
        <v>0</v>
      </c>
      <c r="E79" s="467"/>
      <c r="F79" s="523">
        <f t="shared" si="8"/>
        <v>0</v>
      </c>
      <c r="G79" s="101"/>
      <c r="H79"/>
      <c r="I79" s="472">
        <f t="shared" si="9"/>
        <v>0</v>
      </c>
      <c r="J79" s="270">
        <f t="shared" si="10"/>
        <v>0</v>
      </c>
      <c r="K79" s="270">
        <f t="shared" si="11"/>
        <v>0</v>
      </c>
      <c r="L79" s="463">
        <f t="shared" si="3"/>
        <v>0</v>
      </c>
      <c r="M79"/>
      <c r="N79"/>
      <c r="O79"/>
      <c r="P79"/>
      <c r="Q79"/>
      <c r="R79"/>
    </row>
    <row r="80" spans="3:18" s="19" customFormat="1" ht="38.25" customHeight="1">
      <c r="C80" s="94" t="s">
        <v>76</v>
      </c>
      <c r="D80" s="43">
        <v>0</v>
      </c>
      <c r="E80" s="205">
        <f>IF(OR('9. Medicaid Admin Costs'!$F$5="Apply to CTI Tab 7",'9. Medicaid Admin Costs'!$F$5="Apply to All"),(SUMIF('9. Medicaid Admin Costs'!$D$41:$D$48,"Ongoing - Annually",'9. Medicaid Admin Costs'!$I$41:$I$48)+SUMIF('9. Medicaid Admin Costs'!$D$41:$D$48,"Ongoing - Monthly",'9. Medicaid Admin Costs'!$I$41:$I$48)+SUMIF('9. Medicaid Admin Costs'!$D$41:$D$48,"Ongoing - Quarterly",'9. Medicaid Admin Costs'!$I$41:$I$48)),0)</f>
        <v>0</v>
      </c>
      <c r="F80" s="523">
        <f t="shared" si="8"/>
        <v>0</v>
      </c>
      <c r="G80" s="95">
        <f>SUM('8. General Startup Costs'!$F$47:$F$50)+(IF(OR('9. Medicaid Admin Costs'!$F$5="Apply to CTI Tab 7",'9. Medicaid Admin Costs'!$F$5="Apply to All"),SUMIF('9. Medicaid Admin Costs'!$D$41:$D$48,"Start Up",'9. Medicaid Admin Costs'!$I$41:$I$48),0))</f>
        <v>0</v>
      </c>
      <c r="H80"/>
      <c r="I80" s="472">
        <f t="shared" si="9"/>
        <v>0</v>
      </c>
      <c r="J80" s="270">
        <f t="shared" si="10"/>
        <v>0</v>
      </c>
      <c r="K80" s="270">
        <f t="shared" si="11"/>
        <v>0</v>
      </c>
      <c r="L80" s="463">
        <f t="shared" si="3"/>
        <v>0</v>
      </c>
      <c r="M80"/>
      <c r="N80"/>
      <c r="O80"/>
      <c r="P80"/>
      <c r="Q80"/>
      <c r="R80"/>
    </row>
    <row r="81" spans="3:18" s="19" customFormat="1" ht="15.75">
      <c r="C81" s="96" t="s">
        <v>77</v>
      </c>
      <c r="D81" s="269">
        <v>0</v>
      </c>
      <c r="E81" s="483"/>
      <c r="F81" s="523">
        <f t="shared" si="8"/>
        <v>0</v>
      </c>
      <c r="G81" s="533"/>
      <c r="H81"/>
      <c r="I81" s="472">
        <f t="shared" si="9"/>
        <v>0</v>
      </c>
      <c r="J81" s="270">
        <f t="shared" si="10"/>
        <v>0</v>
      </c>
      <c r="K81" s="270">
        <f t="shared" si="11"/>
        <v>0</v>
      </c>
      <c r="L81" s="463">
        <f t="shared" si="3"/>
        <v>0</v>
      </c>
      <c r="M81"/>
      <c r="N81"/>
      <c r="O81"/>
      <c r="P81"/>
      <c r="Q81"/>
      <c r="R81"/>
    </row>
    <row r="82" spans="3:18" s="19" customFormat="1" ht="15.75">
      <c r="C82" s="106" t="s">
        <v>339</v>
      </c>
      <c r="D82" s="210">
        <v>0</v>
      </c>
      <c r="E82" s="484"/>
      <c r="F82" s="526">
        <f t="shared" si="8"/>
        <v>0</v>
      </c>
      <c r="G82" s="534"/>
      <c r="H82"/>
      <c r="I82" s="472">
        <f t="shared" si="9"/>
        <v>0</v>
      </c>
      <c r="J82" s="270">
        <f t="shared" si="10"/>
        <v>0</v>
      </c>
      <c r="K82" s="270">
        <f t="shared" si="11"/>
        <v>0</v>
      </c>
      <c r="L82" s="486">
        <f t="shared" si="3"/>
        <v>0</v>
      </c>
      <c r="M82"/>
      <c r="N82"/>
      <c r="O82"/>
      <c r="P82"/>
      <c r="Q82"/>
      <c r="R82"/>
    </row>
    <row r="83" spans="3:18" s="19" customFormat="1" ht="22.5" customHeight="1">
      <c r="C83" s="107" t="s">
        <v>78</v>
      </c>
      <c r="D83" s="261">
        <f>SUM(D60:D67)+SUM(D71:D82)</f>
        <v>0</v>
      </c>
      <c r="E83" s="487">
        <f>SUM(E60:E67)+SUM(E71:E82)</f>
        <v>0</v>
      </c>
      <c r="F83" s="487">
        <f>SUM(F60:F67)+SUM(F71:F82)</f>
        <v>0</v>
      </c>
      <c r="G83" s="99">
        <f>SUM(G60:G67)+SUM(G71:G82)</f>
        <v>0</v>
      </c>
      <c r="H83"/>
      <c r="I83" s="187">
        <f>SUM(I60:I67)+SUM(I71:I82)</f>
        <v>0</v>
      </c>
      <c r="J83" s="465">
        <f>SUM(J60:J67)+SUM(J71:J82)</f>
        <v>0</v>
      </c>
      <c r="K83" s="465">
        <f>SUM(K60:K67)+SUM(K71:K82)</f>
        <v>0</v>
      </c>
      <c r="L83" s="115">
        <f>SUM(L60:L67)+SUM(L71:L82)</f>
        <v>0</v>
      </c>
      <c r="M83"/>
      <c r="N83"/>
      <c r="O83"/>
      <c r="P83"/>
      <c r="Q83"/>
      <c r="R83"/>
    </row>
    <row r="84" spans="3:18" s="19" customFormat="1" ht="15.75">
      <c r="C84" s="100"/>
      <c r="D84" s="263"/>
      <c r="E84" s="467"/>
      <c r="F84" s="521"/>
      <c r="G84" s="101"/>
      <c r="H84"/>
      <c r="I84" s="468"/>
      <c r="J84" s="263"/>
      <c r="K84" s="263"/>
      <c r="L84" s="114"/>
      <c r="M84"/>
      <c r="N84"/>
      <c r="O84"/>
      <c r="P84"/>
      <c r="Q84"/>
      <c r="R84"/>
    </row>
    <row r="85" spans="3:18" s="19" customFormat="1" ht="15.75">
      <c r="C85" s="102" t="s">
        <v>79</v>
      </c>
      <c r="D85" s="262">
        <f>D57+D83</f>
        <v>0</v>
      </c>
      <c r="E85" s="205">
        <f>SUM(E57,E83)</f>
        <v>52800</v>
      </c>
      <c r="F85" s="527">
        <f>F57+F83</f>
        <v>52800</v>
      </c>
      <c r="G85" s="95">
        <f ca="1">SUM(G57,G83)</f>
        <v>0</v>
      </c>
      <c r="H85"/>
      <c r="I85" s="488">
        <f ca="1">I57+I83</f>
        <v>52800</v>
      </c>
      <c r="J85" s="262">
        <f ca="1">J57+J83</f>
        <v>56760</v>
      </c>
      <c r="K85" s="262">
        <f ca="1">K57+K83</f>
        <v>61017</v>
      </c>
      <c r="L85" s="116">
        <f ca="1">I85+J85+K85</f>
        <v>170577</v>
      </c>
      <c r="M85"/>
      <c r="N85"/>
      <c r="O85"/>
      <c r="P85"/>
      <c r="Q85"/>
      <c r="R85"/>
    </row>
    <row r="86" spans="3:18" s="19" customFormat="1" ht="16.5" thickBot="1">
      <c r="C86" s="102" t="s">
        <v>80</v>
      </c>
      <c r="D86" s="262">
        <f>D85*'3. Basic Input &amp; Assumptions'!K15</f>
        <v>0</v>
      </c>
      <c r="E86" s="205">
        <f>E85*'3. Basic Input &amp; Assumptions'!$K$15</f>
        <v>7920</v>
      </c>
      <c r="F86" s="606">
        <f>F85*'3. Basic Input &amp; Assumptions'!$K$15</f>
        <v>7920</v>
      </c>
      <c r="G86" s="95">
        <f ca="1">G85*'3. Basic Input &amp; Assumptions'!$K$15</f>
        <v>0</v>
      </c>
      <c r="H86"/>
      <c r="I86" s="488">
        <f ca="1">I85*'3. Basic Input &amp; Assumptions'!$K$15</f>
        <v>7920</v>
      </c>
      <c r="J86" s="262">
        <f ca="1">J85*'3. Basic Input &amp; Assumptions'!$K$15</f>
        <v>8514</v>
      </c>
      <c r="K86" s="262">
        <f ca="1">K85*'3. Basic Input &amp; Assumptions'!$K$15</f>
        <v>9152.5499999999993</v>
      </c>
      <c r="L86" s="116">
        <f ca="1">I86+J86+K86</f>
        <v>25586.55</v>
      </c>
      <c r="M86"/>
      <c r="N86"/>
      <c r="O86"/>
      <c r="P86"/>
      <c r="Q86"/>
      <c r="R86"/>
    </row>
    <row r="87" spans="3:18" s="19" customFormat="1" ht="16.5" thickBot="1">
      <c r="C87" s="93" t="s">
        <v>81</v>
      </c>
      <c r="D87" s="261">
        <f>D85+D86</f>
        <v>0</v>
      </c>
      <c r="E87" s="460">
        <f>SUM(E85:E86)</f>
        <v>60720</v>
      </c>
      <c r="F87" s="603">
        <f>F85+F86</f>
        <v>60720</v>
      </c>
      <c r="G87" s="115">
        <f ca="1">SUM(G85:G86)</f>
        <v>0</v>
      </c>
      <c r="H87"/>
      <c r="I87" s="461">
        <f ca="1">I85+I86</f>
        <v>60720</v>
      </c>
      <c r="J87" s="261">
        <f ca="1">J85+J86</f>
        <v>65274</v>
      </c>
      <c r="K87" s="261">
        <f ca="1">K85+K86</f>
        <v>70169.55</v>
      </c>
      <c r="L87" s="115">
        <f ca="1">I87+J87+K87</f>
        <v>196163.55</v>
      </c>
      <c r="M87"/>
      <c r="N87"/>
      <c r="O87"/>
      <c r="P87"/>
      <c r="Q87"/>
      <c r="R87"/>
    </row>
    <row r="88" spans="3:18" s="19" customFormat="1" ht="15.75">
      <c r="C88" s="108"/>
      <c r="D88" s="263"/>
      <c r="E88" s="467"/>
      <c r="F88" s="607"/>
      <c r="G88" s="101"/>
      <c r="H88"/>
      <c r="I88" s="468"/>
      <c r="J88" s="263"/>
      <c r="K88" s="263"/>
      <c r="L88" s="114"/>
      <c r="M88"/>
      <c r="N88"/>
      <c r="O88"/>
      <c r="P88"/>
      <c r="Q88"/>
      <c r="R88"/>
    </row>
    <row r="89" spans="3:18" s="19" customFormat="1" ht="16.5" thickBot="1">
      <c r="C89" s="120" t="s">
        <v>82</v>
      </c>
      <c r="D89" s="264"/>
      <c r="E89" s="469"/>
      <c r="F89" s="522"/>
      <c r="G89" s="121"/>
      <c r="H89"/>
      <c r="I89" s="470"/>
      <c r="J89" s="264"/>
      <c r="K89" s="264"/>
      <c r="L89" s="118"/>
      <c r="M89"/>
      <c r="N89"/>
      <c r="O89"/>
      <c r="P89"/>
      <c r="Q89"/>
      <c r="R89"/>
    </row>
    <row r="90" spans="3:18" s="19" customFormat="1" ht="18" customHeight="1" thickTop="1">
      <c r="C90" s="119" t="s">
        <v>83</v>
      </c>
      <c r="D90" s="204">
        <v>0</v>
      </c>
      <c r="E90" s="207"/>
      <c r="F90" s="527">
        <f t="shared" ref="F90:F96" si="12">D90</f>
        <v>0</v>
      </c>
      <c r="G90" s="530"/>
      <c r="H90"/>
      <c r="I90" s="488">
        <f>D90</f>
        <v>0</v>
      </c>
      <c r="J90" s="204">
        <f>I90</f>
        <v>0</v>
      </c>
      <c r="K90" s="204">
        <f>J90</f>
        <v>0</v>
      </c>
      <c r="L90" s="462">
        <f t="shared" ref="L90:L96" si="13">I90+J90+K90</f>
        <v>0</v>
      </c>
      <c r="M90"/>
      <c r="N90"/>
      <c r="O90"/>
      <c r="P90"/>
      <c r="Q90"/>
      <c r="R90"/>
    </row>
    <row r="91" spans="3:18" s="19" customFormat="1" ht="15.75">
      <c r="C91" s="94" t="s">
        <v>31</v>
      </c>
      <c r="D91" s="43">
        <v>0</v>
      </c>
      <c r="E91" s="467"/>
      <c r="F91" s="527">
        <f t="shared" si="12"/>
        <v>0</v>
      </c>
      <c r="G91" s="101"/>
      <c r="H91"/>
      <c r="I91" s="488">
        <f t="shared" ref="I91:I95" si="14">D91</f>
        <v>0</v>
      </c>
      <c r="J91" s="43">
        <f t="shared" ref="J91:K95" si="15">I91</f>
        <v>0</v>
      </c>
      <c r="K91" s="43">
        <f t="shared" si="15"/>
        <v>0</v>
      </c>
      <c r="L91" s="463">
        <f t="shared" si="13"/>
        <v>0</v>
      </c>
      <c r="M91"/>
      <c r="N91"/>
      <c r="O91"/>
      <c r="P91"/>
      <c r="Q91"/>
      <c r="R91"/>
    </row>
    <row r="92" spans="3:18" s="19" customFormat="1" ht="15.75">
      <c r="C92" s="94" t="s">
        <v>32</v>
      </c>
      <c r="D92" s="43">
        <v>0</v>
      </c>
      <c r="E92" s="467"/>
      <c r="F92" s="527">
        <f t="shared" si="12"/>
        <v>0</v>
      </c>
      <c r="G92" s="101"/>
      <c r="H92"/>
      <c r="I92" s="488">
        <f t="shared" si="14"/>
        <v>0</v>
      </c>
      <c r="J92" s="43">
        <f t="shared" si="15"/>
        <v>0</v>
      </c>
      <c r="K92" s="43">
        <f t="shared" si="15"/>
        <v>0</v>
      </c>
      <c r="L92" s="463">
        <f t="shared" si="13"/>
        <v>0</v>
      </c>
      <c r="M92"/>
      <c r="N92"/>
      <c r="O92"/>
      <c r="P92"/>
      <c r="Q92"/>
      <c r="R92"/>
    </row>
    <row r="93" spans="3:18" s="19" customFormat="1" ht="15.75">
      <c r="C93" s="94" t="s">
        <v>33</v>
      </c>
      <c r="D93" s="43">
        <v>0</v>
      </c>
      <c r="E93" s="467"/>
      <c r="F93" s="527">
        <f t="shared" si="12"/>
        <v>0</v>
      </c>
      <c r="G93" s="101"/>
      <c r="H93"/>
      <c r="I93" s="488">
        <f t="shared" si="14"/>
        <v>0</v>
      </c>
      <c r="J93" s="43">
        <f t="shared" si="15"/>
        <v>0</v>
      </c>
      <c r="K93" s="43">
        <f t="shared" si="15"/>
        <v>0</v>
      </c>
      <c r="L93" s="463">
        <f t="shared" si="13"/>
        <v>0</v>
      </c>
      <c r="M93"/>
      <c r="N93"/>
      <c r="O93"/>
      <c r="P93"/>
      <c r="Q93"/>
      <c r="R93"/>
    </row>
    <row r="94" spans="3:18" s="19" customFormat="1" ht="15.75">
      <c r="C94" s="94" t="s">
        <v>343</v>
      </c>
      <c r="D94" s="262">
        <f>IF(D42="15-minute increments",D21*D39*D44,IF(D42="Per diem",D21*D39*D44,IF(D42="Per member per month",(D4+F4)*D39*D44,0)))</f>
        <v>0</v>
      </c>
      <c r="E94" s="467"/>
      <c r="F94" s="527">
        <f t="shared" si="12"/>
        <v>0</v>
      </c>
      <c r="G94" s="101"/>
      <c r="H94"/>
      <c r="I94" s="488">
        <f t="shared" si="14"/>
        <v>0</v>
      </c>
      <c r="J94" s="489">
        <f t="shared" si="15"/>
        <v>0</v>
      </c>
      <c r="K94" s="489">
        <f t="shared" si="15"/>
        <v>0</v>
      </c>
      <c r="L94" s="463">
        <f t="shared" si="13"/>
        <v>0</v>
      </c>
      <c r="M94"/>
      <c r="N94"/>
      <c r="O94"/>
      <c r="P94"/>
      <c r="Q94"/>
      <c r="R94"/>
    </row>
    <row r="95" spans="3:18" s="19" customFormat="1" ht="15.75">
      <c r="C95" s="106" t="s">
        <v>35</v>
      </c>
      <c r="D95" s="210">
        <v>0</v>
      </c>
      <c r="E95" s="484"/>
      <c r="F95" s="526">
        <f t="shared" si="12"/>
        <v>0</v>
      </c>
      <c r="G95" s="534"/>
      <c r="H95"/>
      <c r="I95" s="517">
        <f t="shared" si="14"/>
        <v>0</v>
      </c>
      <c r="J95" s="210">
        <f t="shared" si="15"/>
        <v>0</v>
      </c>
      <c r="K95" s="210">
        <f t="shared" si="15"/>
        <v>0</v>
      </c>
      <c r="L95" s="486">
        <f t="shared" si="13"/>
        <v>0</v>
      </c>
      <c r="M95"/>
      <c r="N95"/>
      <c r="O95"/>
      <c r="P95"/>
      <c r="Q95"/>
      <c r="R95"/>
    </row>
    <row r="96" spans="3:18" s="19" customFormat="1" ht="15.75">
      <c r="C96" s="107" t="s">
        <v>84</v>
      </c>
      <c r="D96" s="261">
        <f>SUM(D90:D95)</f>
        <v>0</v>
      </c>
      <c r="E96" s="207"/>
      <c r="F96" s="487">
        <f t="shared" si="12"/>
        <v>0</v>
      </c>
      <c r="G96" s="530"/>
      <c r="H96"/>
      <c r="I96" s="187">
        <f>SUM(I90:I95)</f>
        <v>0</v>
      </c>
      <c r="J96" s="471">
        <f>SUM(J90:J95)</f>
        <v>0</v>
      </c>
      <c r="K96" s="471">
        <f>SUM(K90:K95)</f>
        <v>0</v>
      </c>
      <c r="L96" s="462">
        <f t="shared" si="13"/>
        <v>0</v>
      </c>
      <c r="M96"/>
      <c r="N96"/>
      <c r="O96"/>
      <c r="P96"/>
      <c r="Q96"/>
      <c r="R96"/>
    </row>
    <row r="97" spans="3:18" s="19" customFormat="1" ht="16.5" thickBot="1">
      <c r="C97" s="109"/>
      <c r="D97" s="266"/>
      <c r="E97" s="491"/>
      <c r="F97" s="605"/>
      <c r="G97" s="110"/>
      <c r="H97"/>
      <c r="I97" s="492"/>
      <c r="J97" s="266"/>
      <c r="K97" s="266"/>
      <c r="L97" s="117"/>
      <c r="M97"/>
      <c r="N97"/>
      <c r="O97"/>
      <c r="P97"/>
      <c r="Q97"/>
      <c r="R97"/>
    </row>
    <row r="98" spans="3:18" s="19" customFormat="1" ht="16.5" thickBot="1">
      <c r="C98" s="111" t="s">
        <v>85</v>
      </c>
      <c r="D98" s="267">
        <f>D96-D87</f>
        <v>0</v>
      </c>
      <c r="E98" s="596"/>
      <c r="F98" s="603">
        <f>F96-F87</f>
        <v>-60720</v>
      </c>
      <c r="G98" s="494"/>
      <c r="H98"/>
      <c r="I98" s="493">
        <f ca="1">I96-I87</f>
        <v>-60720</v>
      </c>
      <c r="J98" s="495">
        <f ca="1">J96-J87</f>
        <v>-65274</v>
      </c>
      <c r="K98" s="267">
        <f ca="1">K96-K87</f>
        <v>-70169.55</v>
      </c>
      <c r="L98" s="496">
        <f ca="1">L96-L87</f>
        <v>-196163.55</v>
      </c>
      <c r="M98"/>
      <c r="N98"/>
      <c r="O98"/>
      <c r="P98"/>
      <c r="Q98"/>
      <c r="R98"/>
    </row>
    <row r="99" spans="3:18" s="19" customFormat="1" ht="16.5" thickBot="1">
      <c r="C99" s="49"/>
      <c r="F99" s="20"/>
      <c r="G99" s="20"/>
      <c r="H99"/>
      <c r="M99"/>
      <c r="N99"/>
      <c r="O99"/>
      <c r="P99"/>
      <c r="Q99"/>
      <c r="R99"/>
    </row>
    <row r="100" spans="3:18" s="19" customFormat="1" ht="16.5" thickBot="1">
      <c r="C100" s="733">
        <f>D94/(F87)</f>
        <v>0</v>
      </c>
      <c r="D100" s="734"/>
      <c r="F100"/>
      <c r="I100" s="268" t="s">
        <v>163</v>
      </c>
      <c r="J100" s="127">
        <f>'3. Basic Input &amp; Assumptions'!$K$19</f>
        <v>7.4999999999999997E-2</v>
      </c>
      <c r="M100"/>
      <c r="N100"/>
      <c r="O100"/>
      <c r="P100"/>
      <c r="Q100"/>
      <c r="R100"/>
    </row>
    <row r="101" spans="3:18" s="19" customFormat="1" ht="18" customHeight="1">
      <c r="C101" s="721" t="s">
        <v>346</v>
      </c>
      <c r="D101" s="721"/>
      <c r="F101"/>
      <c r="G101" s="20"/>
      <c r="H101" s="20"/>
      <c r="I101" s="20"/>
      <c r="J101" s="20"/>
    </row>
    <row r="102" spans="3:18">
      <c r="C102" s="722"/>
      <c r="D102" s="722"/>
      <c r="F102"/>
    </row>
    <row r="103" spans="3:18">
      <c r="C103" s="722"/>
      <c r="D103" s="722"/>
    </row>
  </sheetData>
  <sheetProtection algorithmName="SHA-512" hashValue="gHZuXRIF+wdRMzISDaxElBE9jz46zx34PASeLapJwsiXmi+v7VeN3Pw7dRqfU9fsItoJbtG+y6Cg/X13i23csQ==" saltValue="7h9gzLt1rdrmqYlkoICTAg==" spinCount="100000" sheet="1" objects="1" scenarios="1"/>
  <mergeCells count="17">
    <mergeCell ref="C9:D9"/>
    <mergeCell ref="C101:D103"/>
    <mergeCell ref="C5:H5"/>
    <mergeCell ref="C100:D100"/>
    <mergeCell ref="G11:H11"/>
    <mergeCell ref="G12:H12"/>
    <mergeCell ref="G13:H13"/>
    <mergeCell ref="G14:H14"/>
    <mergeCell ref="G15:H15"/>
    <mergeCell ref="F19:H19"/>
    <mergeCell ref="F26:H26"/>
    <mergeCell ref="C31:D31"/>
    <mergeCell ref="C41:D41"/>
    <mergeCell ref="E43:I43"/>
    <mergeCell ref="C49:G49"/>
    <mergeCell ref="I49:L49"/>
    <mergeCell ref="E38:I38"/>
  </mergeCells>
  <conditionalFormatting sqref="C100">
    <cfRule type="expression" dxfId="9" priority="2">
      <formula>$D$94&gt;0</formula>
    </cfRule>
  </conditionalFormatting>
  <conditionalFormatting sqref="E43">
    <cfRule type="expression" dxfId="8" priority="1">
      <formula>AND($D$43&lt;&gt;0,OR($D$42="15-minute increments",$D$42="Per diem",$D$42="Per member per month"))</formula>
    </cfRule>
  </conditionalFormatting>
  <dataValidations count="1">
    <dataValidation type="whole" allowBlank="1" showInputMessage="1" showErrorMessage="1" sqref="D12:D14 F12:F14" xr:uid="{00000000-0002-0000-0600-000000000000}">
      <formula1>0</formula1>
      <formula2>100000</formula2>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'LISTS - DO NOT EDIT'!$A$15:$A$18</xm:f>
          </x14:formula1>
          <xm:sqref>C12:C14</xm:sqref>
        </x14:dataValidation>
        <x14:dataValidation type="list" allowBlank="1" showInputMessage="1" showErrorMessage="1" xr:uid="{48F85844-7926-458F-BAE9-963547954F14}">
          <x14:formula1>
            <xm:f>'LISTS - DO NOT EDIT'!$A$20:$A$23</xm:f>
          </x14:formula1>
          <xm:sqref>D42</xm:sqref>
        </x14:dataValidation>
        <x14:dataValidation type="list" allowBlank="1" showInputMessage="1" showErrorMessage="1" xr:uid="{4820369D-1277-4173-B550-4D60666B2391}">
          <x14:formula1>
            <xm:f>'LISTS - DO NOT EDIT'!$E$1:$E$2</xm:f>
          </x14:formula1>
          <xm:sqref>E9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J52"/>
  <sheetViews>
    <sheetView topLeftCell="A3" zoomScale="120" zoomScaleNormal="120" workbookViewId="0">
      <selection activeCell="G24" sqref="G24:J24"/>
    </sheetView>
  </sheetViews>
  <sheetFormatPr defaultColWidth="9.140625" defaultRowHeight="15"/>
  <cols>
    <col min="1" max="1" width="4" style="44" customWidth="1"/>
    <col min="2" max="2" width="39.85546875" style="44" customWidth="1"/>
    <col min="3" max="4" width="15.7109375" style="44" customWidth="1"/>
    <col min="5" max="5" width="11.5703125" style="44" customWidth="1"/>
    <col min="6" max="6" width="15.7109375" style="44" customWidth="1"/>
    <col min="7" max="7" width="15" style="45" customWidth="1"/>
    <col min="8" max="8" width="9.140625" style="44"/>
    <col min="9" max="9" width="9.140625" style="44" customWidth="1"/>
    <col min="10" max="16384" width="9.140625" style="44"/>
  </cols>
  <sheetData>
    <row r="1" spans="1:10" s="3" customFormat="1" ht="15.75">
      <c r="A1" s="1"/>
      <c r="B1" s="1"/>
      <c r="C1" s="2"/>
      <c r="D1" s="2"/>
    </row>
    <row r="2" spans="1:10" ht="23.25">
      <c r="B2" s="666" t="s">
        <v>188</v>
      </c>
      <c r="C2" s="666"/>
      <c r="D2" s="666"/>
      <c r="E2" s="666"/>
      <c r="F2" s="666"/>
      <c r="G2" s="666"/>
      <c r="H2" s="666"/>
      <c r="I2" s="666"/>
      <c r="J2" s="666"/>
    </row>
    <row r="3" spans="1:10" ht="40.5" customHeight="1">
      <c r="C3" s="785" t="s">
        <v>348</v>
      </c>
      <c r="D3" s="785"/>
      <c r="E3" s="785"/>
      <c r="F3" s="785"/>
      <c r="G3" s="785"/>
    </row>
    <row r="4" spans="1:10" ht="15" customHeight="1">
      <c r="B4" s="784" t="s">
        <v>189</v>
      </c>
      <c r="C4" s="784"/>
      <c r="D4" s="784"/>
      <c r="E4" s="784"/>
      <c r="F4" s="784"/>
      <c r="G4" s="784"/>
      <c r="H4" s="784"/>
      <c r="I4" s="784"/>
      <c r="J4" s="784"/>
    </row>
    <row r="5" spans="1:10" ht="108" customHeight="1">
      <c r="B5" s="784"/>
      <c r="C5" s="784"/>
      <c r="D5" s="784"/>
      <c r="E5" s="784"/>
      <c r="F5" s="784"/>
      <c r="G5" s="784"/>
      <c r="H5" s="784"/>
      <c r="I5" s="784"/>
      <c r="J5" s="784"/>
    </row>
    <row r="6" spans="1:10" ht="15" customHeight="1">
      <c r="B6" s="784"/>
      <c r="C6" s="784"/>
      <c r="D6" s="784"/>
      <c r="E6" s="784"/>
      <c r="F6" s="784"/>
      <c r="G6" s="784"/>
    </row>
    <row r="7" spans="1:10" ht="15" customHeight="1">
      <c r="B7" s="52"/>
      <c r="C7" s="42" t="s">
        <v>190</v>
      </c>
      <c r="D7" s="53" t="s">
        <v>191</v>
      </c>
      <c r="E7" s="53" t="s">
        <v>192</v>
      </c>
      <c r="F7" s="324" t="s">
        <v>193</v>
      </c>
      <c r="G7" s="804" t="s">
        <v>194</v>
      </c>
      <c r="H7" s="805"/>
      <c r="I7" s="805"/>
      <c r="J7" s="806"/>
    </row>
    <row r="8" spans="1:10" ht="15" customHeight="1">
      <c r="B8" s="149" t="s">
        <v>42</v>
      </c>
      <c r="C8" s="150"/>
      <c r="D8" s="151"/>
      <c r="E8" s="151"/>
      <c r="F8" s="319"/>
      <c r="G8" s="807"/>
      <c r="H8" s="808"/>
      <c r="I8" s="808"/>
      <c r="J8" s="809"/>
    </row>
    <row r="9" spans="1:10" ht="15" customHeight="1">
      <c r="B9" s="152" t="s">
        <v>52</v>
      </c>
      <c r="C9" s="153"/>
      <c r="D9" s="125"/>
      <c r="E9" s="125"/>
      <c r="F9" s="320"/>
      <c r="G9" s="810"/>
      <c r="H9" s="811"/>
      <c r="I9" s="811"/>
      <c r="J9" s="812"/>
    </row>
    <row r="10" spans="1:10" ht="32.25" customHeight="1">
      <c r="B10" s="12" t="s">
        <v>195</v>
      </c>
      <c r="C10" s="43"/>
      <c r="D10" s="11"/>
      <c r="E10" s="13"/>
      <c r="F10" s="205">
        <f>IF('3. Basic Input &amp; Assumptions'!$G$12="No",0,D10*E10)</f>
        <v>0</v>
      </c>
      <c r="G10" s="786" t="s">
        <v>196</v>
      </c>
      <c r="H10" s="787"/>
      <c r="I10" s="787"/>
      <c r="J10" s="788"/>
    </row>
    <row r="11" spans="1:10" ht="34.5" customHeight="1">
      <c r="B11" s="12" t="s">
        <v>197</v>
      </c>
      <c r="C11" s="43"/>
      <c r="D11" s="11"/>
      <c r="E11" s="13"/>
      <c r="F11" s="205">
        <f>IF('3. Basic Input &amp; Assumptions'!$G$12="No",0,D11*E11)</f>
        <v>0</v>
      </c>
      <c r="G11" s="786" t="s">
        <v>198</v>
      </c>
      <c r="H11" s="787"/>
      <c r="I11" s="787"/>
      <c r="J11" s="788"/>
    </row>
    <row r="12" spans="1:10" ht="32.25" customHeight="1">
      <c r="B12" s="12" t="s">
        <v>199</v>
      </c>
      <c r="C12" s="43"/>
      <c r="D12" s="11"/>
      <c r="E12" s="13"/>
      <c r="F12" s="205">
        <f>IF('3. Basic Input &amp; Assumptions'!$G$12="No",0,D12*E12)</f>
        <v>0</v>
      </c>
      <c r="G12" s="786" t="s">
        <v>200</v>
      </c>
      <c r="H12" s="787"/>
      <c r="I12" s="787"/>
      <c r="J12" s="788"/>
    </row>
    <row r="13" spans="1:10" ht="47.25">
      <c r="B13" s="12" t="s">
        <v>201</v>
      </c>
      <c r="C13" s="43"/>
      <c r="D13" s="11"/>
      <c r="E13" s="13"/>
      <c r="F13" s="205">
        <f>IF('3. Basic Input &amp; Assumptions'!$G$12="No",0,D13*E13)</f>
        <v>0</v>
      </c>
      <c r="G13" s="786"/>
      <c r="H13" s="787"/>
      <c r="I13" s="787"/>
      <c r="J13" s="788"/>
    </row>
    <row r="14" spans="1:10" ht="15.75">
      <c r="B14" s="157" t="s">
        <v>202</v>
      </c>
      <c r="C14" s="43"/>
      <c r="D14" s="11"/>
      <c r="E14" s="13"/>
      <c r="F14" s="205">
        <f>IF('3. Basic Input &amp; Assumptions'!$G$12="No",0,D14*E14)</f>
        <v>0</v>
      </c>
      <c r="G14" s="786"/>
      <c r="H14" s="787"/>
      <c r="I14" s="787"/>
      <c r="J14" s="788"/>
    </row>
    <row r="15" spans="1:10" ht="15.75">
      <c r="B15" s="157" t="s">
        <v>202</v>
      </c>
      <c r="C15" s="43"/>
      <c r="D15" s="11"/>
      <c r="E15" s="13"/>
      <c r="F15" s="205">
        <f>IF('3. Basic Input &amp; Assumptions'!$G$12="No",0,D15*E15)</f>
        <v>0</v>
      </c>
      <c r="G15" s="786"/>
      <c r="H15" s="787"/>
      <c r="I15" s="787"/>
      <c r="J15" s="788"/>
    </row>
    <row r="16" spans="1:10" ht="15.75">
      <c r="B16" s="152" t="s">
        <v>203</v>
      </c>
      <c r="C16" s="153"/>
      <c r="D16" s="125"/>
      <c r="E16" s="125"/>
      <c r="F16" s="321"/>
      <c r="G16" s="795"/>
      <c r="H16" s="796"/>
      <c r="I16" s="796"/>
      <c r="J16" s="797"/>
    </row>
    <row r="17" spans="2:10" ht="33.75" customHeight="1">
      <c r="B17" s="12" t="s">
        <v>204</v>
      </c>
      <c r="C17" s="43"/>
      <c r="D17" s="11"/>
      <c r="E17" s="13"/>
      <c r="F17" s="205">
        <f>IF('3. Basic Input &amp; Assumptions'!$G$12="No",0,D17*E17)</f>
        <v>0</v>
      </c>
      <c r="G17" s="786" t="s">
        <v>205</v>
      </c>
      <c r="H17" s="787"/>
      <c r="I17" s="787"/>
      <c r="J17" s="788"/>
    </row>
    <row r="18" spans="2:10" ht="15.75">
      <c r="B18" s="157" t="s">
        <v>202</v>
      </c>
      <c r="C18" s="43"/>
      <c r="D18" s="11"/>
      <c r="E18" s="13"/>
      <c r="F18" s="205">
        <f>IF('3. Basic Input &amp; Assumptions'!$G$12="No",0,D18*E18)</f>
        <v>0</v>
      </c>
      <c r="G18" s="786"/>
      <c r="H18" s="787"/>
      <c r="I18" s="787"/>
      <c r="J18" s="788"/>
    </row>
    <row r="19" spans="2:10" ht="15.75">
      <c r="B19" s="157" t="s">
        <v>202</v>
      </c>
      <c r="C19" s="43"/>
      <c r="D19" s="11"/>
      <c r="E19" s="13"/>
      <c r="F19" s="205">
        <f>IF('3. Basic Input &amp; Assumptions'!$G$12="No",0,D19*E19)</f>
        <v>0</v>
      </c>
      <c r="G19" s="786"/>
      <c r="H19" s="787"/>
      <c r="I19" s="787"/>
      <c r="J19" s="788"/>
    </row>
    <row r="20" spans="2:10" ht="15.75">
      <c r="B20" s="157" t="s">
        <v>202</v>
      </c>
      <c r="C20" s="43"/>
      <c r="D20" s="11"/>
      <c r="E20" s="13"/>
      <c r="F20" s="205">
        <f>IF('3. Basic Input &amp; Assumptions'!$G$12="No",0,D20*E20)</f>
        <v>0</v>
      </c>
      <c r="G20" s="786"/>
      <c r="H20" s="787"/>
      <c r="I20" s="787"/>
      <c r="J20" s="788"/>
    </row>
    <row r="21" spans="2:10" ht="15.75">
      <c r="B21" s="156" t="s">
        <v>206</v>
      </c>
      <c r="C21" s="158"/>
      <c r="D21" s="159"/>
      <c r="E21" s="159"/>
      <c r="F21" s="206">
        <f>SUM(F10:F20)</f>
        <v>0</v>
      </c>
      <c r="G21" s="786"/>
      <c r="H21" s="787"/>
      <c r="I21" s="787"/>
      <c r="J21" s="788"/>
    </row>
    <row r="22" spans="2:10" ht="15.75">
      <c r="B22" s="160"/>
      <c r="C22" s="161"/>
      <c r="D22" s="126"/>
      <c r="E22" s="126"/>
      <c r="F22" s="207"/>
      <c r="G22" s="798"/>
      <c r="H22" s="799"/>
      <c r="I22" s="799"/>
      <c r="J22" s="800"/>
    </row>
    <row r="23" spans="2:10" ht="15.75">
      <c r="B23" s="149" t="s">
        <v>55</v>
      </c>
      <c r="C23" s="150"/>
      <c r="D23" s="151"/>
      <c r="E23" s="151"/>
      <c r="F23" s="322"/>
      <c r="G23" s="801"/>
      <c r="H23" s="802"/>
      <c r="I23" s="802"/>
      <c r="J23" s="803"/>
    </row>
    <row r="24" spans="2:10" ht="65.25" customHeight="1">
      <c r="B24" s="12" t="s">
        <v>56</v>
      </c>
      <c r="C24" s="43"/>
      <c r="D24" s="11"/>
      <c r="E24" s="13"/>
      <c r="F24" s="205">
        <f>IF('3. Basic Input &amp; Assumptions'!$G$12="No",0,D24*E24)</f>
        <v>0</v>
      </c>
      <c r="G24" s="786" t="s">
        <v>207</v>
      </c>
      <c r="H24" s="787"/>
      <c r="I24" s="787"/>
      <c r="J24" s="788"/>
    </row>
    <row r="25" spans="2:10" ht="15.75">
      <c r="B25" s="12" t="s">
        <v>57</v>
      </c>
      <c r="C25" s="43"/>
      <c r="D25" s="11"/>
      <c r="E25" s="13"/>
      <c r="F25" s="205">
        <f>IF('3. Basic Input &amp; Assumptions'!$G$12="No",0,D25*E25)</f>
        <v>0</v>
      </c>
      <c r="G25" s="786" t="s">
        <v>208</v>
      </c>
      <c r="H25" s="787"/>
      <c r="I25" s="787"/>
      <c r="J25" s="788"/>
    </row>
    <row r="26" spans="2:10" ht="33.75" customHeight="1">
      <c r="B26" s="12" t="s">
        <v>58</v>
      </c>
      <c r="C26" s="43"/>
      <c r="D26" s="11"/>
      <c r="E26" s="13"/>
      <c r="F26" s="205">
        <f>IF('3. Basic Input &amp; Assumptions'!$G$12="No",0,D26*E26)</f>
        <v>0</v>
      </c>
      <c r="G26" s="786" t="s">
        <v>209</v>
      </c>
      <c r="H26" s="787"/>
      <c r="I26" s="787"/>
      <c r="J26" s="788"/>
    </row>
    <row r="27" spans="2:10" ht="47.25" customHeight="1">
      <c r="B27" s="12" t="s">
        <v>210</v>
      </c>
      <c r="C27" s="43"/>
      <c r="D27" s="11"/>
      <c r="E27" s="13"/>
      <c r="F27" s="205">
        <f>IF('3. Basic Input &amp; Assumptions'!$G$12="No",0,D27*E27)</f>
        <v>0</v>
      </c>
      <c r="G27" s="786" t="s">
        <v>211</v>
      </c>
      <c r="H27" s="787"/>
      <c r="I27" s="787"/>
      <c r="J27" s="788"/>
    </row>
    <row r="28" spans="2:10" ht="32.25" customHeight="1">
      <c r="B28" s="12" t="s">
        <v>212</v>
      </c>
      <c r="C28" s="43"/>
      <c r="D28" s="11"/>
      <c r="E28" s="13"/>
      <c r="F28" s="205">
        <f>IF('3. Basic Input &amp; Assumptions'!$G$12="No",0,D28*E28)</f>
        <v>0</v>
      </c>
      <c r="G28" s="786" t="s">
        <v>213</v>
      </c>
      <c r="H28" s="787"/>
      <c r="I28" s="787"/>
      <c r="J28" s="788"/>
    </row>
    <row r="29" spans="2:10" ht="34.5" customHeight="1">
      <c r="B29" s="12" t="s">
        <v>214</v>
      </c>
      <c r="C29" s="43"/>
      <c r="D29" s="11"/>
      <c r="E29" s="13"/>
      <c r="F29" s="205">
        <f>IF('3. Basic Input &amp; Assumptions'!$G$12="No",0,D29*E29)</f>
        <v>0</v>
      </c>
      <c r="G29" s="786" t="s">
        <v>215</v>
      </c>
      <c r="H29" s="787"/>
      <c r="I29" s="787"/>
      <c r="J29" s="788"/>
    </row>
    <row r="30" spans="2:10" ht="31.5" customHeight="1">
      <c r="B30" s="12" t="s">
        <v>68</v>
      </c>
      <c r="C30" s="43"/>
      <c r="D30" s="11"/>
      <c r="E30" s="13"/>
      <c r="F30" s="205">
        <f>IF('3. Basic Input &amp; Assumptions'!$G$12="No",0,D30*E30)</f>
        <v>0</v>
      </c>
      <c r="G30" s="786" t="s">
        <v>216</v>
      </c>
      <c r="H30" s="787"/>
      <c r="I30" s="787"/>
      <c r="J30" s="788"/>
    </row>
    <row r="31" spans="2:10" ht="31.5" customHeight="1">
      <c r="B31" s="12" t="s">
        <v>71</v>
      </c>
      <c r="C31" s="43"/>
      <c r="D31" s="11"/>
      <c r="E31" s="13"/>
      <c r="F31" s="205">
        <f>IF('3. Basic Input &amp; Assumptions'!$G$12="No",0,D31*E31)</f>
        <v>0</v>
      </c>
      <c r="G31" s="786" t="s">
        <v>217</v>
      </c>
      <c r="H31" s="787"/>
      <c r="I31" s="787"/>
      <c r="J31" s="788"/>
    </row>
    <row r="32" spans="2:10" ht="15.75">
      <c r="B32" s="152" t="s">
        <v>218</v>
      </c>
      <c r="C32" s="153"/>
      <c r="D32" s="125"/>
      <c r="E32" s="125"/>
      <c r="F32" s="321"/>
      <c r="G32" s="795"/>
      <c r="H32" s="796"/>
      <c r="I32" s="796"/>
      <c r="J32" s="797"/>
    </row>
    <row r="33" spans="2:10" ht="15.75">
      <c r="B33" s="12" t="s">
        <v>219</v>
      </c>
      <c r="C33" s="43"/>
      <c r="D33" s="11">
        <v>0</v>
      </c>
      <c r="E33" s="13">
        <v>20</v>
      </c>
      <c r="F33" s="205">
        <f>IF('3. Basic Input &amp; Assumptions'!$G$12="No",0,D33*E33)</f>
        <v>0</v>
      </c>
      <c r="G33" s="786" t="s">
        <v>220</v>
      </c>
      <c r="H33" s="787"/>
      <c r="I33" s="787"/>
      <c r="J33" s="788"/>
    </row>
    <row r="34" spans="2:10" ht="15.75">
      <c r="B34" s="12" t="s">
        <v>221</v>
      </c>
      <c r="C34" s="43"/>
      <c r="D34" s="11"/>
      <c r="E34" s="13"/>
      <c r="F34" s="205">
        <f>IF('3. Basic Input &amp; Assumptions'!$G$12="No",0,D34*E34)</f>
        <v>0</v>
      </c>
      <c r="G34" s="786" t="s">
        <v>222</v>
      </c>
      <c r="H34" s="787"/>
      <c r="I34" s="787"/>
      <c r="J34" s="788"/>
    </row>
    <row r="35" spans="2:10" ht="67.5" customHeight="1">
      <c r="B35" s="12" t="s">
        <v>223</v>
      </c>
      <c r="C35" s="43"/>
      <c r="D35" s="11"/>
      <c r="E35" s="13"/>
      <c r="F35" s="205">
        <f>IF('3. Basic Input &amp; Assumptions'!$G$12="No",0,D35*E35)</f>
        <v>0</v>
      </c>
      <c r="G35" s="786" t="s">
        <v>224</v>
      </c>
      <c r="H35" s="787"/>
      <c r="I35" s="787"/>
      <c r="J35" s="788"/>
    </row>
    <row r="36" spans="2:10" ht="50.25" customHeight="1">
      <c r="B36" s="12" t="s">
        <v>225</v>
      </c>
      <c r="C36" s="43"/>
      <c r="D36" s="11"/>
      <c r="E36" s="13"/>
      <c r="F36" s="205">
        <f>IF('3. Basic Input &amp; Assumptions'!$G$12="No",0,D36*E36)</f>
        <v>0</v>
      </c>
      <c r="G36" s="786" t="s">
        <v>226</v>
      </c>
      <c r="H36" s="787"/>
      <c r="I36" s="787"/>
      <c r="J36" s="788"/>
    </row>
    <row r="37" spans="2:10" ht="36.75" customHeight="1">
      <c r="B37" s="12" t="s">
        <v>227</v>
      </c>
      <c r="C37" s="43"/>
      <c r="D37" s="11"/>
      <c r="E37" s="13"/>
      <c r="F37" s="205">
        <f>IF('3. Basic Input &amp; Assumptions'!$G$12="No",0,D37*E37)</f>
        <v>0</v>
      </c>
      <c r="G37" s="786" t="s">
        <v>228</v>
      </c>
      <c r="H37" s="787"/>
      <c r="I37" s="787"/>
      <c r="J37" s="788"/>
    </row>
    <row r="38" spans="2:10" ht="15.75">
      <c r="B38" s="12" t="s">
        <v>229</v>
      </c>
      <c r="C38" s="43"/>
      <c r="D38" s="11"/>
      <c r="E38" s="13"/>
      <c r="F38" s="205">
        <f>IF('3. Basic Input &amp; Assumptions'!$G$12="No",0,D38*E38)</f>
        <v>0</v>
      </c>
      <c r="G38" s="786"/>
      <c r="H38" s="787"/>
      <c r="I38" s="787"/>
      <c r="J38" s="788"/>
    </row>
    <row r="39" spans="2:10" ht="55.5" customHeight="1">
      <c r="B39" s="12" t="s">
        <v>230</v>
      </c>
      <c r="C39" s="43"/>
      <c r="D39" s="11"/>
      <c r="E39" s="13"/>
      <c r="F39" s="205">
        <f>IF('3. Basic Input &amp; Assumptions'!$G$12="No",0,D39*E39)</f>
        <v>0</v>
      </c>
      <c r="G39" s="786" t="s">
        <v>231</v>
      </c>
      <c r="H39" s="787"/>
      <c r="I39" s="787"/>
      <c r="J39" s="788"/>
    </row>
    <row r="40" spans="2:10" ht="51.75" customHeight="1">
      <c r="B40" s="12" t="s">
        <v>232</v>
      </c>
      <c r="C40" s="43"/>
      <c r="D40" s="11"/>
      <c r="E40" s="13"/>
      <c r="F40" s="205">
        <f>IF('3. Basic Input &amp; Assumptions'!$G$12="No",0,D40*E40)</f>
        <v>0</v>
      </c>
      <c r="G40" s="786" t="s">
        <v>233</v>
      </c>
      <c r="H40" s="787"/>
      <c r="I40" s="787"/>
      <c r="J40" s="788"/>
    </row>
    <row r="41" spans="2:10" ht="56.25" customHeight="1">
      <c r="B41" s="12" t="s">
        <v>234</v>
      </c>
      <c r="C41" s="43"/>
      <c r="D41" s="11"/>
      <c r="E41" s="13"/>
      <c r="F41" s="205">
        <f>IF('3. Basic Input &amp; Assumptions'!$G$12="No",0,D41*E41)</f>
        <v>0</v>
      </c>
      <c r="G41" s="786" t="s">
        <v>235</v>
      </c>
      <c r="H41" s="787"/>
      <c r="I41" s="787"/>
      <c r="J41" s="788"/>
    </row>
    <row r="42" spans="2:10" ht="48.75" customHeight="1">
      <c r="B42" s="12" t="s">
        <v>236</v>
      </c>
      <c r="C42" s="43"/>
      <c r="D42" s="11"/>
      <c r="E42" s="13"/>
      <c r="F42" s="205">
        <f>IF('3. Basic Input &amp; Assumptions'!$G$12="No",0,D42*E42)</f>
        <v>0</v>
      </c>
      <c r="G42" s="786" t="s">
        <v>237</v>
      </c>
      <c r="H42" s="787"/>
      <c r="I42" s="787"/>
      <c r="J42" s="788"/>
    </row>
    <row r="43" spans="2:10" ht="15.75">
      <c r="B43" s="157" t="s">
        <v>202</v>
      </c>
      <c r="C43" s="43"/>
      <c r="D43" s="11"/>
      <c r="E43" s="13"/>
      <c r="F43" s="205">
        <f>IF('3. Basic Input &amp; Assumptions'!$G$12="No",0,D43*E43)</f>
        <v>0</v>
      </c>
      <c r="G43" s="786"/>
      <c r="H43" s="787"/>
      <c r="I43" s="787"/>
      <c r="J43" s="788"/>
    </row>
    <row r="44" spans="2:10" ht="15.75">
      <c r="B44" s="157" t="s">
        <v>202</v>
      </c>
      <c r="C44" s="43"/>
      <c r="D44" s="11"/>
      <c r="E44" s="13"/>
      <c r="F44" s="205">
        <f>IF('3. Basic Input &amp; Assumptions'!$G$12="No",0,D44*E44)</f>
        <v>0</v>
      </c>
      <c r="G44" s="786"/>
      <c r="H44" s="787"/>
      <c r="I44" s="787"/>
      <c r="J44" s="788"/>
    </row>
    <row r="45" spans="2:10" ht="75.75" customHeight="1">
      <c r="B45" s="12" t="s">
        <v>238</v>
      </c>
      <c r="C45" s="43"/>
      <c r="D45" s="11"/>
      <c r="E45" s="13"/>
      <c r="F45" s="205">
        <f>IF('3. Basic Input &amp; Assumptions'!$G$12="No",0,D45*E45)</f>
        <v>0</v>
      </c>
      <c r="G45" s="786" t="s">
        <v>239</v>
      </c>
      <c r="H45" s="787"/>
      <c r="I45" s="787"/>
      <c r="J45" s="788"/>
    </row>
    <row r="46" spans="2:10" ht="15.75">
      <c r="B46" s="152" t="s">
        <v>240</v>
      </c>
      <c r="C46" s="153"/>
      <c r="D46" s="125"/>
      <c r="E46" s="125"/>
      <c r="F46" s="321"/>
      <c r="G46" s="795"/>
      <c r="H46" s="796"/>
      <c r="I46" s="796"/>
      <c r="J46" s="797"/>
    </row>
    <row r="47" spans="2:10" ht="15.75">
      <c r="B47" s="157" t="s">
        <v>202</v>
      </c>
      <c r="C47" s="43"/>
      <c r="D47" s="11"/>
      <c r="E47" s="13"/>
      <c r="F47" s="205">
        <f>IF('3. Basic Input &amp; Assumptions'!$G$12="No",0,D47*E47)</f>
        <v>0</v>
      </c>
      <c r="G47" s="786"/>
      <c r="H47" s="787"/>
      <c r="I47" s="787"/>
      <c r="J47" s="788"/>
    </row>
    <row r="48" spans="2:10" ht="15.75">
      <c r="B48" s="157" t="s">
        <v>202</v>
      </c>
      <c r="C48" s="43"/>
      <c r="D48" s="11"/>
      <c r="E48" s="13"/>
      <c r="F48" s="205">
        <f>IF('3. Basic Input &amp; Assumptions'!$G$12="No",0,D48*E48)</f>
        <v>0</v>
      </c>
      <c r="G48" s="786"/>
      <c r="H48" s="787"/>
      <c r="I48" s="787"/>
      <c r="J48" s="788"/>
    </row>
    <row r="49" spans="2:10" ht="15.75">
      <c r="B49" s="157" t="s">
        <v>202</v>
      </c>
      <c r="C49" s="43"/>
      <c r="D49" s="11"/>
      <c r="E49" s="13"/>
      <c r="F49" s="205">
        <f>IF('3. Basic Input &amp; Assumptions'!$G$12="No",0,D49*E49)</f>
        <v>0</v>
      </c>
      <c r="G49" s="786"/>
      <c r="H49" s="787"/>
      <c r="I49" s="787"/>
      <c r="J49" s="788"/>
    </row>
    <row r="50" spans="2:10" ht="15.75">
      <c r="B50" s="157" t="s">
        <v>202</v>
      </c>
      <c r="C50" s="43"/>
      <c r="D50" s="11"/>
      <c r="E50" s="13"/>
      <c r="F50" s="205">
        <f>IF('3. Basic Input &amp; Assumptions'!$G$12="No",0,D50*E50)</f>
        <v>0</v>
      </c>
      <c r="G50" s="789"/>
      <c r="H50" s="790"/>
      <c r="I50" s="790"/>
      <c r="J50" s="791"/>
    </row>
    <row r="51" spans="2:10" ht="15.75">
      <c r="B51" s="156" t="s">
        <v>241</v>
      </c>
      <c r="C51" s="158"/>
      <c r="D51" s="159"/>
      <c r="E51" s="159"/>
      <c r="F51" s="206">
        <f>SUM(F24:F50)</f>
        <v>0</v>
      </c>
      <c r="G51" s="792"/>
      <c r="H51" s="793"/>
      <c r="I51" s="793"/>
      <c r="J51" s="794"/>
    </row>
    <row r="52" spans="2:10" ht="15.75">
      <c r="B52" s="154" t="s">
        <v>242</v>
      </c>
      <c r="C52" s="155"/>
      <c r="D52" s="155"/>
      <c r="E52" s="155"/>
      <c r="F52" s="323">
        <f>SUM(F21,F51)</f>
        <v>0</v>
      </c>
      <c r="G52" s="781"/>
      <c r="H52" s="782"/>
      <c r="I52" s="782"/>
      <c r="J52" s="783"/>
    </row>
  </sheetData>
  <sheetProtection algorithmName="SHA-512" hashValue="A7xz+lbc5ZL1/ODnLfUc8Csft8LW4J6sD82852HyNS4YDsy6dVdBVIe1O7n3TIXlqKWCf7Y5oKYsynJ2g03z6w==" saltValue="ukMx/5Pcs4QEygiVNX94ow==" spinCount="100000" sheet="1" objects="1" scenarios="1"/>
  <mergeCells count="50">
    <mergeCell ref="B6:G6"/>
    <mergeCell ref="G7:J7"/>
    <mergeCell ref="G8:J8"/>
    <mergeCell ref="G9:J9"/>
    <mergeCell ref="G10:J10"/>
    <mergeCell ref="G11:J11"/>
    <mergeCell ref="G12:J12"/>
    <mergeCell ref="G13:J13"/>
    <mergeCell ref="G14:J14"/>
    <mergeCell ref="G15:J15"/>
    <mergeCell ref="G16:J16"/>
    <mergeCell ref="G17:J17"/>
    <mergeCell ref="G18:J18"/>
    <mergeCell ref="G19:J19"/>
    <mergeCell ref="G20:J20"/>
    <mergeCell ref="G21:J21"/>
    <mergeCell ref="G22:J22"/>
    <mergeCell ref="G23:J23"/>
    <mergeCell ref="G24:J24"/>
    <mergeCell ref="G25:J25"/>
    <mergeCell ref="G26:J26"/>
    <mergeCell ref="G27:J27"/>
    <mergeCell ref="G28:J28"/>
    <mergeCell ref="G29:J29"/>
    <mergeCell ref="G30:J30"/>
    <mergeCell ref="G31:J31"/>
    <mergeCell ref="G39:J39"/>
    <mergeCell ref="G40:J40"/>
    <mergeCell ref="G41:J41"/>
    <mergeCell ref="G32:J32"/>
    <mergeCell ref="G33:J33"/>
    <mergeCell ref="G34:J34"/>
    <mergeCell ref="G35:J35"/>
    <mergeCell ref="G36:J36"/>
    <mergeCell ref="G52:J52"/>
    <mergeCell ref="B4:J5"/>
    <mergeCell ref="B2:J2"/>
    <mergeCell ref="C3:G3"/>
    <mergeCell ref="G47:J47"/>
    <mergeCell ref="G48:J48"/>
    <mergeCell ref="G49:J49"/>
    <mergeCell ref="G50:J50"/>
    <mergeCell ref="G51:J51"/>
    <mergeCell ref="G42:J42"/>
    <mergeCell ref="G43:J43"/>
    <mergeCell ref="G44:J44"/>
    <mergeCell ref="G45:J45"/>
    <mergeCell ref="G46:J46"/>
    <mergeCell ref="G37:J37"/>
    <mergeCell ref="G38:J38"/>
  </mergeCells>
  <pageMargins left="0.7" right="0.7" top="0.75" bottom="0.75" header="0.3" footer="0.3"/>
  <pageSetup orientation="portrait" r:id="rId1"/>
  <ignoredErrors>
    <ignoredError sqref="F22:F23 F51"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77" id="{016D5998-5EE5-4F0F-B156-A40BFAABEC27}">
            <xm:f>'3. Basic Input &amp; Assumptions'!$G$12="No"</xm:f>
            <x14:dxf>
              <font>
                <color theme="0"/>
              </font>
              <fill>
                <patternFill>
                  <bgColor theme="0"/>
                </patternFill>
              </fill>
              <border>
                <left/>
                <right/>
                <top/>
                <bottom/>
                <vertical/>
                <horizontal/>
              </border>
            </x14:dxf>
          </x14:cfRule>
          <xm:sqref>A4:J53</xm:sqref>
        </x14:conditionalFormatting>
        <x14:conditionalFormatting xmlns:xm="http://schemas.microsoft.com/office/excel/2006/main">
          <x14:cfRule type="expression" priority="78" id="{9B50244D-8E44-4716-90EE-481052849041}">
            <xm:f>'3. Basic Input &amp; Assumptions'!$G$12="No"</xm:f>
            <x14:dxf>
              <font>
                <color rgb="FFFF0000"/>
              </font>
              <fill>
                <patternFill>
                  <bgColor rgb="FFFFFF00"/>
                </patternFill>
              </fill>
            </x14:dxf>
          </x14:cfRule>
          <xm:sqref>C3:G3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E2B1DFF1B198429F76ACCEFE7393F0" ma:contentTypeVersion="7" ma:contentTypeDescription="Create a new document." ma:contentTypeScope="" ma:versionID="1579c882383c9195eb0732587f9ed6a4">
  <xsd:schema xmlns:xsd="http://www.w3.org/2001/XMLSchema" xmlns:xs="http://www.w3.org/2001/XMLSchema" xmlns:p="http://schemas.microsoft.com/office/2006/metadata/properties" xmlns:ns2="4191720e-8438-4fc5-b99a-15cb16e63074" xmlns:ns3="698c33cc-7501-42af-8cc1-a44d33b218fb" targetNamespace="http://schemas.microsoft.com/office/2006/metadata/properties" ma:root="true" ma:fieldsID="a982147b044e1050d763f025220b450f" ns2:_="" ns3:_="">
    <xsd:import namespace="4191720e-8438-4fc5-b99a-15cb16e63074"/>
    <xsd:import namespace="698c33cc-7501-42af-8cc1-a44d33b218f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91720e-8438-4fc5-b99a-15cb16e63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8c33cc-7501-42af-8cc1-a44d33b218f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6211D5-C48D-4BEE-8362-24FF2A5773C5}">
  <ds:schemaRefs>
    <ds:schemaRef ds:uri="4191720e-8438-4fc5-b99a-15cb16e63074"/>
    <ds:schemaRef ds:uri="http://schemas.microsoft.com/office/2006/documentManagement/types"/>
    <ds:schemaRef ds:uri="http://schemas.microsoft.com/office/infopath/2007/PartnerControls"/>
    <ds:schemaRef ds:uri="http://schemas.openxmlformats.org/package/2006/metadata/core-properties"/>
    <ds:schemaRef ds:uri="698c33cc-7501-42af-8cc1-a44d33b218fb"/>
    <ds:schemaRef ds:uri="http://purl.org/dc/term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A6C6380-1564-427E-9783-2909CB89B6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91720e-8438-4fc5-b99a-15cb16e63074"/>
    <ds:schemaRef ds:uri="698c33cc-7501-42af-8cc1-a44d33b21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F3A4A-8264-41CA-A0C5-A4AB0FEFC6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1. About the Service BudgetTool</vt:lpstr>
      <vt:lpstr>2a. Budget Summary Output</vt:lpstr>
      <vt:lpstr>2b. Annual Total Budget Summary</vt:lpstr>
      <vt:lpstr>3. Basic Input &amp; Assumptions</vt:lpstr>
      <vt:lpstr>4. ACT</vt:lpstr>
      <vt:lpstr>5. ICM</vt:lpstr>
      <vt:lpstr>6. TSS</vt:lpstr>
      <vt:lpstr>7. CTI</vt:lpstr>
      <vt:lpstr>8. General Startup Costs</vt:lpstr>
      <vt:lpstr>9. Medicaid Admin Costs</vt:lpstr>
      <vt:lpstr>LISTS - DO NOT EDIT</vt:lpstr>
      <vt:lpstr>'1. About the Service BudgetTool'!Print_Area</vt:lpstr>
      <vt:lpstr>'9. Medicaid Admin Costs'!Print_Area</vt:lpstr>
    </vt:vector>
  </TitlesOfParts>
  <Manager/>
  <Company>CorpSH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Cheryl Winter</dc:creator>
  <cp:keywords/>
  <dc:description/>
  <cp:lastModifiedBy>Eva Lerner</cp:lastModifiedBy>
  <cp:revision/>
  <dcterms:created xsi:type="dcterms:W3CDTF">2017-08-18T13:27:21Z</dcterms:created>
  <dcterms:modified xsi:type="dcterms:W3CDTF">2024-03-14T18:32:14Z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0x0101004FE2B1DFF1B198429F76ACCEFE7393F0</vt:lpwstr>
  </property>
</Properties>
</file>