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OVID-19\"/>
    </mc:Choice>
  </mc:AlternateContent>
  <bookViews>
    <workbookView xWindow="0" yWindow="0" windowWidth="6390" windowHeight="510"/>
  </bookViews>
  <sheets>
    <sheet name="State &amp; Jurisdiction Response" sheetId="1" r:id="rId1"/>
    <sheet name="2nd Round CDBG-CV Fund Uses" sheetId="5" r:id="rId2"/>
    <sheet name="States with Federal Approval" sheetId="2" r:id="rId3"/>
    <sheet name="2019 QAP Data Input" sheetId="3" state="hidden" r:id="rId4"/>
    <sheet name="9% LIHTC Language" sheetId="4" state="hidden" r:id="rId5"/>
  </sheets>
  <definedNames>
    <definedName name="_xlnm._FilterDatabase" localSheetId="0" hidden="1">'State &amp; Jurisdiction Response'!$A$2:$G$658</definedName>
    <definedName name="_xlnm._FilterDatabase" localSheetId="2" hidden="1">'States with Federal Approval'!$A$2:$E$35</definedName>
    <definedName name="Z_38C24D7E_0C64_4FF0_A92C_F3BA8B0AF05D_.wvu.FilterData" localSheetId="2" hidden="1">'States with Federal Approval'!$A$1:$E$35</definedName>
  </definedNames>
  <calcPr calcId="162913"/>
  <customWorkbookViews>
    <customWorkbookView name="Filter 1" guid="{38C24D7E-0C64-4FF0-A92C-F3BA8B0AF05D}" maximized="1" windowWidth="0" windowHeight="0" activeSheetId="0"/>
  </customWorkbookViews>
</workbook>
</file>

<file path=xl/calcChain.xml><?xml version="1.0" encoding="utf-8"?>
<calcChain xmlns="http://schemas.openxmlformats.org/spreadsheetml/2006/main">
  <c r="F47" i="1" l="1"/>
  <c r="F366" i="1" l="1"/>
  <c r="F363" i="1"/>
  <c r="F526" i="1" l="1"/>
  <c r="F271" i="1" l="1"/>
  <c r="F462" i="1" l="1"/>
  <c r="F297" i="1"/>
  <c r="F21" i="1" l="1"/>
  <c r="F124" i="1" l="1"/>
  <c r="F107" i="1"/>
  <c r="F417" i="1"/>
  <c r="F6" i="1"/>
  <c r="F310" i="1" l="1"/>
  <c r="F82" i="1"/>
  <c r="F78" i="1" l="1"/>
  <c r="F173" i="1" l="1"/>
  <c r="F154" i="1"/>
  <c r="F153" i="1"/>
  <c r="F148" i="1"/>
  <c r="F142" i="1"/>
  <c r="F140" i="1"/>
  <c r="F103" i="1"/>
  <c r="F96" i="1"/>
  <c r="F92" i="1"/>
  <c r="F88" i="1"/>
  <c r="F65" i="1"/>
  <c r="F60" i="1"/>
  <c r="F39" i="1"/>
  <c r="F188" i="1" l="1"/>
  <c r="F214" i="1" l="1"/>
  <c r="F175" i="1"/>
  <c r="F163" i="1"/>
  <c r="F146" i="1"/>
  <c r="F130" i="1"/>
  <c r="F120" i="1"/>
  <c r="F122" i="1"/>
  <c r="F101" i="1"/>
  <c r="F72" i="1"/>
  <c r="F64" i="1"/>
  <c r="F61" i="1"/>
  <c r="F32" i="1"/>
  <c r="F40" i="1"/>
  <c r="F28" i="1" l="1"/>
  <c r="F636" i="1" l="1"/>
  <c r="F584" i="1"/>
  <c r="F372" i="1" l="1"/>
  <c r="E35" i="2" l="1"/>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F657" i="1"/>
  <c r="F654" i="1"/>
  <c r="F655" i="1"/>
  <c r="F647" i="1"/>
  <c r="F646" i="1"/>
  <c r="F645" i="1"/>
  <c r="F635" i="1"/>
  <c r="F639" i="1"/>
  <c r="F638" i="1"/>
  <c r="F634" i="1"/>
  <c r="F628" i="1"/>
  <c r="F627" i="1"/>
  <c r="F622" i="1"/>
  <c r="F621" i="1"/>
  <c r="F620" i="1"/>
  <c r="F616" i="1"/>
  <c r="F614" i="1"/>
  <c r="F611" i="1"/>
  <c r="F610" i="1"/>
  <c r="F608" i="1"/>
  <c r="F600" i="1"/>
  <c r="F596" i="1"/>
  <c r="F595" i="1"/>
  <c r="F594" i="1"/>
  <c r="F593" i="1"/>
  <c r="F589" i="1"/>
  <c r="F587" i="1"/>
  <c r="F583" i="1"/>
  <c r="F581" i="1"/>
  <c r="F571" i="1"/>
  <c r="F566" i="1"/>
  <c r="F565" i="1"/>
  <c r="F563" i="1"/>
  <c r="F561" i="1"/>
  <c r="F557" i="1"/>
  <c r="F556" i="1"/>
  <c r="F554" i="1"/>
  <c r="F552" i="1"/>
  <c r="F549" i="1"/>
  <c r="F547" i="1"/>
  <c r="F546" i="1"/>
  <c r="F544" i="1"/>
  <c r="F542" i="1"/>
  <c r="F540" i="1"/>
  <c r="F538" i="1"/>
  <c r="F536" i="1"/>
  <c r="F535" i="1"/>
  <c r="F534" i="1"/>
  <c r="F533" i="1"/>
  <c r="F531" i="1"/>
  <c r="F522" i="1"/>
  <c r="F519" i="1"/>
  <c r="F517" i="1"/>
  <c r="F516" i="1"/>
  <c r="F515" i="1"/>
  <c r="F514" i="1"/>
  <c r="F513" i="1"/>
  <c r="F512" i="1"/>
  <c r="F511" i="1"/>
  <c r="F510" i="1"/>
  <c r="F503" i="1"/>
  <c r="F504" i="1"/>
  <c r="F502" i="1"/>
  <c r="F501" i="1"/>
  <c r="F500" i="1"/>
  <c r="F497" i="1"/>
  <c r="F496" i="1"/>
  <c r="F492" i="1"/>
  <c r="F486" i="1"/>
  <c r="F481" i="1"/>
  <c r="F478" i="1"/>
  <c r="F471" i="1"/>
  <c r="F470" i="1"/>
  <c r="F469" i="1"/>
  <c r="F468" i="1"/>
  <c r="F467" i="1"/>
  <c r="F463" i="1"/>
  <c r="F461" i="1"/>
  <c r="F460" i="1"/>
  <c r="F457" i="1"/>
  <c r="F456" i="1"/>
  <c r="F455" i="1"/>
  <c r="F454" i="1"/>
  <c r="F449" i="1"/>
  <c r="F448" i="1"/>
  <c r="F447" i="1"/>
  <c r="F444" i="1"/>
  <c r="F443" i="1"/>
  <c r="F442" i="1"/>
  <c r="F439" i="1"/>
  <c r="F429" i="1"/>
  <c r="F427" i="1"/>
  <c r="F421" i="1"/>
  <c r="F415" i="1"/>
  <c r="F414" i="1"/>
  <c r="F413" i="1"/>
  <c r="F412" i="1"/>
  <c r="F408" i="1"/>
  <c r="F404" i="1"/>
  <c r="F398" i="1"/>
  <c r="F401" i="1"/>
  <c r="F400" i="1"/>
  <c r="F399" i="1"/>
  <c r="F397" i="1"/>
  <c r="F396" i="1"/>
  <c r="F394" i="1"/>
  <c r="F388" i="1"/>
  <c r="F387" i="1"/>
  <c r="F379" i="1"/>
  <c r="F377" i="1"/>
  <c r="F375" i="1"/>
  <c r="F367" i="1"/>
  <c r="F365" i="1"/>
  <c r="F364" i="1"/>
  <c r="F362" i="1"/>
  <c r="F361" i="1"/>
  <c r="F358" i="1"/>
  <c r="F355" i="1"/>
  <c r="F354" i="1"/>
  <c r="F351" i="1"/>
  <c r="F350" i="1"/>
  <c r="F348" i="1"/>
  <c r="F347" i="1"/>
  <c r="F346" i="1"/>
  <c r="F345" i="1"/>
  <c r="F344" i="1"/>
  <c r="F340" i="1"/>
  <c r="F332" i="1"/>
  <c r="F329" i="1"/>
  <c r="F325" i="1"/>
  <c r="F326" i="1"/>
  <c r="F321" i="1"/>
  <c r="F319" i="1"/>
  <c r="F317" i="1"/>
  <c r="F313" i="1"/>
  <c r="F312" i="1"/>
  <c r="F309" i="1"/>
  <c r="F307" i="1"/>
  <c r="F305" i="1"/>
  <c r="F302" i="1"/>
  <c r="F301" i="1"/>
  <c r="F298" i="1"/>
  <c r="F296" i="1"/>
  <c r="F294" i="1"/>
  <c r="F293" i="1"/>
  <c r="F289" i="1"/>
  <c r="F288" i="1"/>
  <c r="F284" i="1"/>
  <c r="F283" i="1"/>
  <c r="F276" i="1"/>
  <c r="F273" i="1"/>
  <c r="F272" i="1"/>
  <c r="F270" i="1"/>
  <c r="F268" i="1"/>
  <c r="F265" i="1"/>
  <c r="F264" i="1"/>
  <c r="F263" i="1"/>
  <c r="F261" i="1"/>
  <c r="F259" i="1"/>
  <c r="F258" i="1"/>
  <c r="F254" i="1"/>
  <c r="F251" i="1"/>
  <c r="F247" i="1"/>
  <c r="F246" i="1"/>
  <c r="F245" i="1"/>
  <c r="F244" i="1"/>
  <c r="F242" i="1"/>
  <c r="F241" i="1"/>
  <c r="F240" i="1"/>
  <c r="F236" i="1"/>
  <c r="F229" i="1"/>
  <c r="F228" i="1"/>
  <c r="F218" i="1"/>
  <c r="F216" i="1"/>
  <c r="F215" i="1"/>
  <c r="F213" i="1"/>
  <c r="F212" i="1"/>
  <c r="F208" i="1"/>
  <c r="F207" i="1"/>
  <c r="F203" i="1"/>
  <c r="F202" i="1"/>
  <c r="F200" i="1"/>
  <c r="F199" i="1"/>
  <c r="F197" i="1"/>
  <c r="F198" i="1"/>
  <c r="F196" i="1"/>
  <c r="F192" i="1"/>
  <c r="F184" i="1"/>
  <c r="F180" i="1"/>
  <c r="F179" i="1"/>
  <c r="F132" i="1"/>
  <c r="F114" i="1"/>
  <c r="F113" i="1"/>
  <c r="F177" i="1"/>
  <c r="F176" i="1"/>
  <c r="F174" i="1"/>
  <c r="F170" i="1"/>
  <c r="F169" i="1"/>
  <c r="F168" i="1"/>
  <c r="F167" i="1"/>
  <c r="F161" i="1"/>
  <c r="F156" i="1"/>
  <c r="F160" i="1"/>
  <c r="F158" i="1"/>
  <c r="F157" i="1"/>
  <c r="F155" i="1"/>
  <c r="F152" i="1"/>
  <c r="F151" i="1"/>
  <c r="F149" i="1"/>
  <c r="F144" i="1"/>
  <c r="F133" i="1"/>
  <c r="F129" i="1"/>
  <c r="F128" i="1"/>
  <c r="F126" i="1"/>
  <c r="F118" i="1"/>
  <c r="F115" i="1"/>
  <c r="F112" i="1"/>
  <c r="F111" i="1"/>
  <c r="F108" i="1"/>
  <c r="F105" i="1"/>
  <c r="F102" i="1"/>
  <c r="F100" i="1"/>
  <c r="F99" i="1"/>
  <c r="F98" i="1"/>
  <c r="F94" i="1"/>
  <c r="F93" i="1"/>
  <c r="F91" i="1"/>
  <c r="F83" i="1"/>
  <c r="F81" i="1"/>
  <c r="F79" i="1"/>
  <c r="F71" i="1"/>
  <c r="F70" i="1"/>
  <c r="F69" i="1"/>
  <c r="F68" i="1"/>
  <c r="F66" i="1"/>
  <c r="F63" i="1"/>
  <c r="F62" i="1"/>
  <c r="F59" i="1"/>
  <c r="F57" i="1"/>
  <c r="F56" i="1"/>
  <c r="F55" i="1"/>
  <c r="F50" i="1"/>
  <c r="F49" i="1"/>
  <c r="F46" i="1"/>
  <c r="F44" i="1"/>
  <c r="F43" i="1"/>
  <c r="F41" i="1"/>
  <c r="F38" i="1"/>
  <c r="F36" i="1"/>
  <c r="F34" i="1"/>
  <c r="F33" i="1"/>
  <c r="F26" i="1"/>
  <c r="F25" i="1"/>
  <c r="F23" i="1"/>
  <c r="F22" i="1"/>
  <c r="F24" i="1"/>
  <c r="F14" i="1"/>
  <c r="F13" i="1"/>
  <c r="F12" i="1"/>
  <c r="F11" i="1"/>
  <c r="F10" i="1"/>
  <c r="F9" i="1"/>
  <c r="F4" i="1"/>
</calcChain>
</file>

<file path=xl/sharedStrings.xml><?xml version="1.0" encoding="utf-8"?>
<sst xmlns="http://schemas.openxmlformats.org/spreadsheetml/2006/main" count="4082" uniqueCount="1494">
  <si>
    <t xml:space="preserve">State </t>
  </si>
  <si>
    <t>Jurisdiction</t>
  </si>
  <si>
    <t>Date Issued</t>
  </si>
  <si>
    <t>Type</t>
  </si>
  <si>
    <t xml:space="preserve">Summary </t>
  </si>
  <si>
    <t>Resource</t>
  </si>
  <si>
    <t>Alabama</t>
  </si>
  <si>
    <t>Lauderdale County</t>
  </si>
  <si>
    <t>Justice</t>
  </si>
  <si>
    <t>The County Commission passed a resolution regarding COVID-19 outlining law enforcement guidelines for issuing a summons and complaint in lieu of custodial arrest for certain violations.</t>
  </si>
  <si>
    <t>Approved</t>
  </si>
  <si>
    <t>Alaska</t>
  </si>
  <si>
    <t>Anchorage</t>
  </si>
  <si>
    <t>Housing Assistance</t>
  </si>
  <si>
    <t>The Anchorage Assembly has established a $1 million housing costs relief fund, from city allocations, which will be disbursed through an already-established United Way program. Renters and homeowners can apply by calling Alaska 211. If selected for assistance, the money will be given directly to a landlord, or a bank for those seeking assistance on their mortgage.</t>
  </si>
  <si>
    <t>Anchorage Assembly approves plan to give financial assistance to small businesses and renters</t>
  </si>
  <si>
    <t>Juneau</t>
  </si>
  <si>
    <t>Pending</t>
  </si>
  <si>
    <t>State</t>
  </si>
  <si>
    <t>Eviction</t>
  </si>
  <si>
    <r>
      <rPr>
        <b/>
        <sz val="11"/>
        <rFont val="Calibri"/>
        <family val="2"/>
      </rPr>
      <t>(Note: this is not a statewide ban)</t>
    </r>
    <r>
      <rPr>
        <sz val="11"/>
        <rFont val="Calibri"/>
        <family val="2"/>
      </rPr>
      <t xml:space="preserve"> Alaska Governor Mike Dunleavy released the Alaska COVID-19 Economic Stabilization Plan. He will sign an executive order stating that </t>
    </r>
    <r>
      <rPr>
        <b/>
        <sz val="11"/>
        <rFont val="Calibri"/>
        <family val="2"/>
      </rPr>
      <t xml:space="preserve">no evictions can be carried out on the 13,000 Alaskans </t>
    </r>
    <r>
      <rPr>
        <sz val="11"/>
        <rFont val="Calibri"/>
        <family val="2"/>
      </rPr>
      <t>who receive rental assistance through the Alaska Housing Finance Corporation for 60 days. The Alaska Housing Finance Corporation will suspend foreclosures and evictions.</t>
    </r>
  </si>
  <si>
    <t xml:space="preserve">HB 312: The bill creates a moratorium on evictions for nonpayment of rent for the duratin of the emergency state and 30 days after. It also creates a moratorium on disconnection of residential utilities for the same duration. </t>
  </si>
  <si>
    <t>Failed</t>
  </si>
  <si>
    <t>HB 205: An Act making appropriations for the operating and loan program expenses of state government and for certain programs; appropriates $2.7 million to the city of Anchorage for response to COVID-19. Contingent upon the passage of SB 241 or a similar bill, appropriates $5 million from the general fund to the Alaska Housing Finance Corporation for the purpose of preventing homelessness caused by COVID-19; appropriates $75 million from the budget reserve fund to the Department of Health and Human Services for the purpose of responding to the COVID-19 public health disaster emergency.</t>
  </si>
  <si>
    <t>Enacted</t>
  </si>
  <si>
    <t>Arizona</t>
  </si>
  <si>
    <t>Coconino County</t>
  </si>
  <si>
    <t>The Board of Supervisors considered possible action to approve the FY20 funding agreement for a rental/eviction prevention program for $75,000 as well as heard an update, discussion, and possible action regarding COVID-19, and response and advocacy efforts.</t>
  </si>
  <si>
    <t xml:space="preserve">The Coconino County court system and jail have released around 50 inmates held on non-violent charges. </t>
  </si>
  <si>
    <t>Glendale</t>
  </si>
  <si>
    <t>The Council heard a resolution placing a moratorium on evictions due to nonpayment of rent due to COVID 19</t>
  </si>
  <si>
    <t>Maricopa County</t>
  </si>
  <si>
    <t xml:space="preserve">Arizona Supreme Court gave lower court authorization to suspend mandatory timelines on eviction hearings. A request has been made in Maricopa County to halt all evictions until early April. </t>
  </si>
  <si>
    <t>Phoenix-area renters facing eviction could get help amind coronavirus crisis</t>
  </si>
  <si>
    <t>Phoenix</t>
  </si>
  <si>
    <t xml:space="preserve">Phoenix Mayor Kate Gallengo said Phoenix will halt all financial evictions on city-owned housing only. </t>
  </si>
  <si>
    <t>Pima County</t>
  </si>
  <si>
    <t>All 10 Pima County Constables have signed a letter saying they will hold off from evictions until they receive adequate guidance from the Pima County Health Department and the Arizona Supreme Court.</t>
  </si>
  <si>
    <t>Pima County Constables: No Evictions During Covid-19 Outbreak</t>
  </si>
  <si>
    <t>Renters struggling to make rent payments due to the coronavirus pandemic could benefit from $5 million in new state funding, Gov. Doug Ducey announced. This rental assistance builds on Ducey's March 24 executive order to delay evictions for those impacted — either quarantined or facing economic challenges — by COVID-19. The rental assistance funding is part of a Rental Eviction Prevention Assistance Program that will be administered by the Arizona Department of Housing.</t>
  </si>
  <si>
    <t>General Assistance</t>
  </si>
  <si>
    <t xml:space="preserve">SB 1687: Provides that during the state of emergency declaration period for coronavirus disease, the Department of Economic Security shall provide an exemption from state time limits for TANF and a general waiver for work requirements under TANF; authorizes payments to providers of behavioral health services and providers to individuals with intellectual and development disabilities, the elderly, and the disabled. </t>
  </si>
  <si>
    <t xml:space="preserve">SB 1690:  Appropriates $50 million from the general fund to a newly established Crisis Contingency and Safety Net Fund. The fund will provide economic assistance for housing, the homeless, small businesses, and food bank operations during the coronavirus public health emergency. </t>
  </si>
  <si>
    <t>Arkansas</t>
  </si>
  <si>
    <t>Little Rock</t>
  </si>
  <si>
    <r>
      <t xml:space="preserve">No general eviction moratorium in place.  </t>
    </r>
    <r>
      <rPr>
        <b/>
        <sz val="11"/>
        <rFont val="Calibri"/>
        <family val="2"/>
      </rPr>
      <t>In Little Rock:</t>
    </r>
    <r>
      <rPr>
        <sz val="11"/>
        <rFont val="Calibri"/>
        <family val="2"/>
      </rPr>
      <t xml:space="preserve">  The Metropolitan Housing Alliance has announced that public housing residents and Section 8 tenants in Little Rock will not be evicted during this time period. The housing agency will work with property management companies on rent forbearance.</t>
    </r>
  </si>
  <si>
    <t xml:space="preserve">SB 2/HB 1001: Creates a "COVID-19" Rainy Day Fund. Immediately transfers $173,610,632 from the General Allotment Reserve Fund to the COVID-19 Rainy Day Fund to provide for appropriations to offset revenue reductions and address needs created by the coronavirus. </t>
  </si>
  <si>
    <t>California</t>
  </si>
  <si>
    <t>Alameda County</t>
  </si>
  <si>
    <t>Homeless</t>
  </si>
  <si>
    <t>https://player.vimeo.com/video/411226644</t>
  </si>
  <si>
    <t xml:space="preserve">Approved </t>
  </si>
  <si>
    <t>Alameda City</t>
  </si>
  <si>
    <t>The Council heard an Ordinance (A) Imposing within the City of Alameda a Temporary Moratorium on (1) Residential and Commercial Evictions Due to or During the COVID-19 Pandemic, (2) Landlords‚ Shutting off Utilities in Residential and Commercial Rental Units Except for Emergency Situations and Essential Activities, and (3) Rent Increases for Fully Regulated Residential Rental Units Until January 1, 2021, and (B) Repealing Ordinance No. 3273. (Community Development).</t>
  </si>
  <si>
    <t>The Board of Supervisors heard the first reading and introduction of an ordinance amending the temporary moratorium on evictions due to COVID-19 to create a moratorium on all evictions regardless of cause.</t>
  </si>
  <si>
    <t>Board of Supervisors Agenda</t>
  </si>
  <si>
    <t>Alhambra</t>
  </si>
  <si>
    <t>The city of Alhambra is offering $596,000 in emergency funding for housing assistance and to supplement a meals program for seniors. The funding comes from the Community Development Block Grant Coronavirus Fund (CBDG-CV) administered by the U.S. Department of Housing and Urban Development.</t>
  </si>
  <si>
    <t>Alhambra Announces COVID-19 Housing Assistance Funding</t>
  </si>
  <si>
    <t>Anaheim</t>
  </si>
  <si>
    <t>The City Council considered an urgency ordinance  amending and restating previously adopted ordinance imposing a temporary moratorium on the eviction of residential or commercial tenants unable to pay rent because of COVID-19.</t>
  </si>
  <si>
    <t>The Anaheim City Council approved an economic recovery plan, up to an amount of $15,000,000, to assist Anaheim residents, businesses, employees, and others impacted by COVID-19.</t>
  </si>
  <si>
    <t>Antioch</t>
  </si>
  <si>
    <t xml:space="preserve">The Council heard an urgent ordinance enacting a temporary moratorium on evictions for residential and commercial tenants. </t>
  </si>
  <si>
    <t>Arcata</t>
  </si>
  <si>
    <t>The Humboldt County Sheriff's Office said that it will not be enforcing evictions "effective immediately until further notice."</t>
  </si>
  <si>
    <t>Baldwin Park</t>
  </si>
  <si>
    <t>The Council considered a Proclamation Barring Residential and Commercial Evictions During Emergency Stabilization.</t>
  </si>
  <si>
    <t>City Council Agenda</t>
  </si>
  <si>
    <t>Buena Park</t>
  </si>
  <si>
    <t xml:space="preserve">The Council also considered an Urgency Ordinance amending the Moratorium on residential and commercial evictions in the City to incorporate supplemental language set forth in Executive Order N-37-20, issued by California Gavin Newsom on March 27, 2020. </t>
  </si>
  <si>
    <t>Burbank</t>
  </si>
  <si>
    <t>The Council discussed extending the urgency eviction ordinance.</t>
  </si>
  <si>
    <t>Camarillo City</t>
  </si>
  <si>
    <t>The Council heard Resolution Confirming EOC Director order 20-2 COVID 19 response Staying Evictions. The city is passed a moratorium on evictions until May 31st.</t>
  </si>
  <si>
    <t>Carson City</t>
  </si>
  <si>
    <t xml:space="preserve">The City Council also considered a resolution concerning publication of the State of California's emergency orders and laws restricting residential evictions in response to COVID-19. </t>
  </si>
  <si>
    <t>Chula Vista</t>
  </si>
  <si>
    <t>City Council discussed an emergency ordinance amending emergency ordinance 3486-a [eviction moratorium ordinance] of the city of chula vista to extend the termination date of the ordinance from may 31, 2020 to june 30, 2020.</t>
  </si>
  <si>
    <t xml:space="preserve">Special Meeting of the Public Financing Authority and Housing Authority </t>
  </si>
  <si>
    <t>Concord City</t>
  </si>
  <si>
    <t>The City Council will consider adopting an urgency ordinance imposing moratoria on certain evictions for failure to pay rent, evictions for failure to pay utilities, utility shutoffs for failure to pay rent, utility shut offs for failure to pay utilities, late fees or penalties for failure to pay rent, late fees or penalties for failure to pay utilities, rent increases, and utility charge increases, for certain residential and commercial tenants in the City of Concord experiencing a documented substantial decrease in household or business income caused by the COVID19 pandemic, or by any local, state, or federal government response to COVID-19, and recommending that financial institutions and utilities freeze foreclosure or utility shut-offs, by reading of the title only and waving further reading.</t>
  </si>
  <si>
    <t>Corona City</t>
  </si>
  <si>
    <t>The City Council discussed possible future agenda item to address emergency eviction relief measures for residential and commercial tenants impacted by COVID-19 as provided for in the Governor's Executive Order N-28-20 issued on March 16, 2020 as well as possible future agenda item to request and encourage landlords to consider a moratorium on rent increases for residential and commercial tenants impacted by COVID-19.</t>
  </si>
  <si>
    <t>Costa Mesa</t>
  </si>
  <si>
    <t xml:space="preserve">The City Council will consider an ordinance to establish a temporary moratorium on the eviction of residential or commercial tenants who are unable to pay rent due to the impacts of the novel coronavirus disease (COVID-19). </t>
  </si>
  <si>
    <t>El Cajon</t>
  </si>
  <si>
    <t>El Dorado County</t>
  </si>
  <si>
    <t>The Board approved and accepted COVID-19 Emergency Homeless Funding in the amount of $109,909, administered by the California Business, Consumer Services, and Housing Agency's Homeless Coordinating and Financing Council, for the purposes of responding to the impacts of the COVID-19 pandemic on homeless populations.</t>
  </si>
  <si>
    <t>El Monte</t>
  </si>
  <si>
    <t xml:space="preserve">City Council approved a 60 day moratorium on evictions. Council has the right to extend if the pandemic continues. </t>
  </si>
  <si>
    <t>Escondido</t>
  </si>
  <si>
    <t xml:space="preserve">The Council considered adoption of a temporary moratorium on eviction. </t>
  </si>
  <si>
    <t>City Council Meeting Agenda</t>
  </si>
  <si>
    <t>Fresno City</t>
  </si>
  <si>
    <t>The City Council heard a resolution Directing appropriations to the COVID-19 Emergency Response Fund to create a Consumer Grant Program to assist Fresno families impacted by job loss or reduction in working hours, and directing appropriations to the Save our Small Business Program.</t>
  </si>
  <si>
    <t>Fresno City &amp; County</t>
  </si>
  <si>
    <t xml:space="preserve">The City Council approved a Memorandum of Understanding between City of Fresno and County of Fresno implementing the joint COVID-19 homeless response plan under the COVID-19 Emergency Homelessness Funding program which include allocations to the City of Fresno ($1,012,869.44); and County of Fresno ($382,080.59). </t>
  </si>
  <si>
    <t xml:space="preserve">Fresno County </t>
  </si>
  <si>
    <t>The city of Fresno issued an order stating that no residential tenants can be evicted due to loss of income related to the COVID-19 outbreak. The tenant must notify the landlord and provide documentation. Tenants will have up to six months after the termination of the emergency declaration to repay back rent. The eviction moratorium is in effect for 30 days but could be extended.</t>
  </si>
  <si>
    <t>Gilroy</t>
  </si>
  <si>
    <t xml:space="preserve">On April 6th, the Council Adopted an Ordinance of the City Council of the City of Gilroy prohibiting evictions for the nonpayment of rent for tenants impacted by the COVID-19 emergency and setting forth the facts constituting the need for such relief. </t>
  </si>
  <si>
    <t>Hayward</t>
  </si>
  <si>
    <t xml:space="preserve">The City Council adopted an Emergency Ordinance Establishing a Temporary Moratorium on Residential and Commercial Evictions in the City of Hayward for Non-Payment of Rent or Mortgage Payments Caused by the Coronavirus (COVID-19) Pandemic to Include Prohibitions on Commercial Evictions, Lender Evictions of Homeowners, and Retaliation against Tenants. </t>
  </si>
  <si>
    <t>Hermosa Beach</t>
  </si>
  <si>
    <t xml:space="preserve">The Council discussed an ordinance extending the temporary moratorium on evictions and foreclosure during
the COVID-19 pandemic and setting forth the facts constituting such urgency. </t>
  </si>
  <si>
    <t>Humboldt County</t>
  </si>
  <si>
    <t>The Board of Supervisors considered Adoption of an Uncodified Urgency Ordinance to Prohibit Residential Evictions During the COVID-19 State of Emergency for Nonpayment of Rent or for No-fault Evictions and to Repeal and Replace Ordinance No. 2641 Regarding COVID-19 and Evictions.</t>
  </si>
  <si>
    <t>Huntington Beach</t>
  </si>
  <si>
    <t>The Council heard an Emergency Ordinance 4210 Establishing Temporary Ban on Certain Tenant Evictions for Non-Payment of Rent as a Result of COVID-19 Related Financial Impacts.</t>
  </si>
  <si>
    <t>Huntington Park</t>
  </si>
  <si>
    <t>The City Council adopted an ordinance restricting eviction of commercial and residential tenants due to the spread of the COVID-19.</t>
  </si>
  <si>
    <t>Imperial County</t>
  </si>
  <si>
    <t xml:space="preserve">The Board heard an uncodified urgency ordinance extending the temporary prohibition on COVID-19 pandemic-related evictions in the unincorporated area of the County of Imperial through June 30, 2020, as requested by Adam Crook, County Counsel. </t>
  </si>
  <si>
    <t>Inglewood</t>
  </si>
  <si>
    <t>Irvine</t>
  </si>
  <si>
    <t>The City Council considered a request to discuss an urgency ordinance on eviction limitations due to coronavirus.</t>
  </si>
  <si>
    <t>Jurupa Valley</t>
  </si>
  <si>
    <t>The Council heard a resolution proclaiming a local emergency that includes suspesion of evictions for residents and small businesses.</t>
  </si>
  <si>
    <t>Lake County</t>
  </si>
  <si>
    <t>The Council Considered an Urgency Ordinance Prohibiting Rental Housing Price Gouging and Unlawful Evictions in the Unincorporated Areas of the County of Lake During a State of Emergency.</t>
  </si>
  <si>
    <t xml:space="preserve">The Board of Supervisors will adopt a resolution Authorizing Lake County Behavioral Health Services Department to Advance Funds in Order to Maintain COVID-19 Shelter Operations until Receipt of COVID-19 Emergency Homelessness Funding From the California Homeless Coordinating and Financing Council. </t>
  </si>
  <si>
    <t>Lakewood</t>
  </si>
  <si>
    <t>The Council discussed an Urgency Ordinance Relating to a Temporary Moratorium on Evicting Tenants Due to Causes Related to the COVID- 19 State of Emergency.</t>
  </si>
  <si>
    <t>Long Beach</t>
  </si>
  <si>
    <t>The Council discussed a Recommendation to direct City Attorney to prepare an urgency ordinance amending Long Beach's COVID Eviction Moratorium (LBMC 8.100) and The Housing Authority of the City of Long Beach Moratorium on Section 8 terminations in the following three ways, to align Long Beach's COVID tenant protections with the County and City of Los Angeles: (1) extend the moratorium date from May 31, 2020 until August 31, 2020; (2) extend the amount of time to repay rent from six months to twelve months; and (3) add provisions to address tenant harassment. These proposed amendments would apply to residential and commercial tenancies; and direct City Attorney to bring this urgency ordinance back, with these revisions, to the Council for consideration at a special meeting on or before May 26, 2020.</t>
  </si>
  <si>
    <t>Los Angeles</t>
  </si>
  <si>
    <t>Mayor Garcetti's has ordered that no landlord shall evict a residential tenant in the City of Los Angeles during this local emergency period if the tenant us able to show an inability to pay rent due to circumstances related to the COVID 19 pandemic. This includes loss of income, child care expenditures due to school closings, health care expenses, or caring for a member of the household who is ill with COVID 19. Tenant will have up to six months following expiration of the local emergency period to repay any back due rent. The LA City Council is considering expanding the moratorium to 12 months.</t>
  </si>
  <si>
    <t>Public Order Under the City of Los Angeles Emergency Authority</t>
  </si>
  <si>
    <t>The Council considered an ordinance relative to adding Section 151.32 to Article 1, Chapter XV of the Los Angeles Municipal Code (LAMC) to temporarily prohibit rent increases for rental units subject to the Rent Stabilization Ordinance (RSO).</t>
  </si>
  <si>
    <t>Los Angeles City &amp; County, &amp; Los Angeles Homeless Services Authority (CoC)</t>
  </si>
  <si>
    <t xml:space="preserve">LAHSA has extended winter shelters to continue to provide 900 shelter beds beyond March 31st, and LAHSA and the City opened an additional 8 shelters. They are providing training to shelter staff on the CDC recommendations on keeping people safe. To date, LAHSA  has secured 2,340 motel rooms. The City/County/LAHSA goal is to move between 15,000-17,000 motel/hotel rooms, RVs/trailers, or shelter beds as a response to COVID.
Additionally, LA County, LA City, and LAHSA have deployed 18 mobile shower facilities and are identifying locations for over 300 mobile hygiene stations across the County. </t>
  </si>
  <si>
    <t>COVID-19 GUIDANCE FOR LOS ANGELES COUNTY HOMELESS SERVICES COMMUNITY</t>
  </si>
  <si>
    <t>Los Angeles County</t>
  </si>
  <si>
    <t>The Los Angeles County Board of Supervisors unanimously approved a proposal by Supervisors Janice Hahn and Hilda Solis to create an Emergency Rent Assistance Program during the COVID-19 crisis. When it is created, the program could provide up to $1000 per month for three months to renters who have lost income due to the coronavirus pandemic. Funding for the program would come from the second round of funding Los Angeles County expects to receive from the Federal CARES Act.</t>
  </si>
  <si>
    <t>About 1700 inmates have been released from LA County jails, reducing the population by 10%. All released inmates were serving for non-violent crimes and had less than 30 days left on their sentences. The county sheriff noted that they are aware that inmates may be released into homelessness and have established about 2,000 additional shelter spaces.</t>
  </si>
  <si>
    <t>Marin County</t>
  </si>
  <si>
    <t>Marin County Doubles COVID-19 Rental Assistance Fund For Homeless</t>
  </si>
  <si>
    <t>Mendocino County</t>
  </si>
  <si>
    <t>The Council held a Discussion and Possible Action Including Adoption of Urgency Ordinance Enacting Restrictions on Commercial and Residential Evictions in Mendocino County through May 31, 2020.</t>
  </si>
  <si>
    <t>Menlo Park</t>
  </si>
  <si>
    <t>The Council discussed Resolution No. 6551 amending the Menlo Park tenant relocation assistance program administered by Samaritan House to include one-time tenant rental assistance related to COVID-19 and other circumstances. The City allocated and disbursed $112,000 in August 2019 to support this program and no additional funds are requested at this time.</t>
  </si>
  <si>
    <t xml:space="preserve">Millbrae City
</t>
  </si>
  <si>
    <t>The City Council considered an Urgency Ordinance Establishing a Temporary Moratorium on Eviction for Non-payment of rent by small business commercial tenants directly impacted by the COVID-19 pandemic.</t>
  </si>
  <si>
    <t xml:space="preserve">Monterey County </t>
  </si>
  <si>
    <t>Monterey County Board of Supervisors passed an urgency ordinance extending Ordinance No. 5325 (that adopted a temporary COVID-19 pandemic related prohibition on evictions through May 31, 2020) through July 31, 2020.</t>
  </si>
  <si>
    <t>Monterey County Meeting Agenda</t>
  </si>
  <si>
    <t>Napa Valley</t>
  </si>
  <si>
    <t>The Napa City Council is reallocating approximately $1.4 million from its Housing Division for rental assistance for tenants. About $400,000 of the total will be drawn from an existing program to support low-income first-time homeowners, funded in part by a grant from the U.S. Department of Housing and Urban Development. The remaining $1 million will come from money the city has collected in loan repayments from earlier low-income homebuyers. Support lasts for no more than 12-months and is contingent on remaining within the city limits of Napa and maintaining similar levels of need.</t>
  </si>
  <si>
    <t>Napa City Council approved $1.4 million in rental assistance for people hurt by pandemic</t>
  </si>
  <si>
    <t>Newton City</t>
  </si>
  <si>
    <t xml:space="preserve">The City Council heard approval of $2.5 million for emergency housing relief for low and moderate income citizens through a COVID‐19 Emergency Housing Relief Program. In addition, the City will be allocating five hundred thousand ($500,000) in CDBG funding from the federal CARES Act to emergency housing needs.  </t>
  </si>
  <si>
    <t>Oakland</t>
  </si>
  <si>
    <t>The Council discussed  An Emergency Ordinance Amending Ordinance No. 13589 C.M.S. To (1) Extend The Moratorium On Residential Evictions During The Local Emergency Proclaimed In Response To The Novel Coronavirus (Covid-19) Pandemic; And (2) Extend The Moratorium On Commercial Evictions Based On Nonpayment Of Rent That Became Due During The Local Emergency When Tenant Suffered A Substantial Loss Of Income Due To Covid-19.</t>
  </si>
  <si>
    <t>Racial Equity</t>
  </si>
  <si>
    <t>Mayor Libby Schaaf and regional leaders announced the formation of an emergency task force to immediately address the racialized impacts of the COVID-19 virus and create state legislation to reduce health disparities for people of color. The COVID-19 Racial Disparities Task Force will prioritize an immediate response to the disparate impacts of the virus among people of color, particularly African American, Latino, Asian, and Native American residents, including those experiencing poverty, immigrants, elders, people with disabilities, formerly incarcerated, and unsheltered residents. Secondly, members of the task force will write and pass state legislation with the goal to eliminate the injustice of racial health disparities.</t>
  </si>
  <si>
    <t>Local Leaders Announce COVID-19 Racial Disparities Task Force</t>
  </si>
  <si>
    <t>Oceanside</t>
  </si>
  <si>
    <t>The City Council considered an urgent ordinance providing a temporary moratorium on the eviction of residential and commercial tenants arising from the COVID-19 pandemic.</t>
  </si>
  <si>
    <t>Palm Springs</t>
  </si>
  <si>
    <t>The City Council will consider an urgency ordinance extending a temporary moratorium on evictions resulting from nonpayment of rent when such nonpayment was caused by the COVID-19 pandemic.</t>
  </si>
  <si>
    <t>Palmdale</t>
  </si>
  <si>
    <t>The City Council adopted a resolution regarding evictions during the local emergency resulting from coronavirus disease 2019.</t>
  </si>
  <si>
    <t>Palo Alto</t>
  </si>
  <si>
    <t>The Mountain View City Council voted unanimously to create a $500,000 renter assistance program to stave off evictions amid mounting wage losses and economic hardship caused by the new coronavirus. The renter assistance is expected to operate through the Community Services Agency of Mountain View and Los Altos (CSA).</t>
  </si>
  <si>
    <t>Pasadena</t>
  </si>
  <si>
    <t>The Council heard an ordinance of the city of pasadena superseding ordinance no. 7359, a moratorium on evictions for non-payment of rent by tenants impacted by COVID-19.</t>
  </si>
  <si>
    <t>Perris City</t>
  </si>
  <si>
    <t>The City Council will also consider adopting an Urgency Ordinance enacting Emergency Price-Gouging and Eviction Protections Related to the COVID-19 Pandemic.</t>
  </si>
  <si>
    <t>Pittsburg City</t>
  </si>
  <si>
    <t>The City Council discussed Adoption of 1) an Urgency Ordinance Establishing Emergency Regulations Related to Residential Evictions, and 2) an Urgency Ordinance Establishing Emergency Regulations Related to Commercial Evictions.</t>
  </si>
  <si>
    <t>Portola Valley</t>
  </si>
  <si>
    <t>The Town Council considered adoption of an urgency ordinance establishing a moratorium on evictions for non-payment of rent by small business commercial tenants directly impacted by the COVID-19 pandemic.</t>
  </si>
  <si>
    <t>Rancho Cucamonga</t>
  </si>
  <si>
    <t xml:space="preserve">Rancho Cucamonga City Council issued an eviction moratorium for both residential and commercial tenants impacted by COVID-19. Tenants must be able to provide documentation that the inability to pay is related to the coronavirus pandemic and must notify the landlord within 30 days after the rent is due. The ban will be in effect through May 31 for residential renters and April 30 for commercial tenants. On May 6, the Council heard an urgency ordinance extending emergency regulations related to commercial tenant evictions. </t>
  </si>
  <si>
    <t>Redlands</t>
  </si>
  <si>
    <t>The City Council will consider Ordinance No. 2908 an uncodified, urgency ordinance of the City of Redlands enacting a temporary moratorium on residential and commercial evictions due to nonpayment of rent for tenants where the failure to pay rent results from income loss resulting from the Novel Coronavirus (COVID-19), and setting forth the facts constituting such urgency. The Council will also discuss possible action relating to homelessness during the declared existence of a local emergency due to the COVID-19 pandemic.</t>
  </si>
  <si>
    <t>Riverside</t>
  </si>
  <si>
    <t xml:space="preserve">The Council recommend adoption of a Resolution of the City Council of the City of Riverside, California, amending Resolution No. 23558 extending the Temporary Moratorium on the eviction for non-payment of rent for residential and commercial tenants during the declared Local Emergency to June 30, 2020. </t>
  </si>
  <si>
    <t>Rosemead</t>
  </si>
  <si>
    <t xml:space="preserve">The City Council will consider Urgency Ordinance No. 993, Temporarily Prohibiting Evictions of Residential and Commercial Evictions of Tenants Arising from Income Loss or Substantial Medical Expenses Related to the COVID-19 Pandemic. </t>
  </si>
  <si>
    <t>Sacramento</t>
  </si>
  <si>
    <t>The City Council recommended the approval of a resolution authorizing the City Manager or City Manager's designee to execute and submit the COVID-19 Emergency Homeless Funding Grant Agreement with the State of California Business, Consumer Services and Housing Agency (BCSH) to receive and administer $2,245,840.09 in grant funding.</t>
  </si>
  <si>
    <t>Sacramento City &amp; County have joined to form a Sacramento Homelessness COVID-19 Response Team. So far, the Team has secured 420 hotel rooms and 59 trailers for quarantine or isolation centers for people experiencing homelessness who have tested positive for COVID-19, are symptomatic, or are at high-risk for death due to COVID. The Team has also worked to add 56 handwashing stations and 49 toilets in 36 locations.</t>
  </si>
  <si>
    <t>https://sacramentostepsforward.org/wp-content/uploads/2020/03/04-Homeless-Response-Progress-Report_Final-5.8.2020.pdf</t>
  </si>
  <si>
    <t xml:space="preserve">San Bernardino </t>
  </si>
  <si>
    <t>San Bernardino City Council declared a local emergency, which in part bans evictions until May 31. The city also announced it would not disconnect anyone’s utility service during the outbreak if they can't pay.</t>
  </si>
  <si>
    <t>San Clemente</t>
  </si>
  <si>
    <t>The City Council approved an appropriation of $500,000 in Fund 016 ‚a Disaster Relief Fund, Expenditures to fund costs related to the COVID-19 Emergency.</t>
  </si>
  <si>
    <t>San Diego City</t>
  </si>
  <si>
    <t xml:space="preserve">The City of San Diego has opened Golden Hall and the Convention Center to homeless shelter beds that are now sheltering about 1,200 people, and testing residents; two residents to date tested positive for COVID, and were referred to hotel rooms for isolation. The County Department of Public Health has secured hotel rooms for people who need isolation. Only a portion reserved to people experiencing homelessness;  195 people are currently residing in these rooms. One person committed suicide at one of the hotels. The San Diego Housing Commission (City housing authority) pooled funds to make available over $29 million toward acquisition, rehabilitation, and operating costs on hotels converted to permanent housing ($19 million for acquisition and rehabilitation and $10 million for rental costs). </t>
  </si>
  <si>
    <t xml:space="preserve">San Diego County </t>
  </si>
  <si>
    <t>San Diego County will place a moratorium on all evictions of residential and commercial renters in the unincorporated areas who have seen their income reduced or been otherwise substantially economically harmed by the COVID-19 pandemic. Effective until May 31.</t>
  </si>
  <si>
    <t>San Francisco</t>
  </si>
  <si>
    <t xml:space="preserve">Mayor Breed issued a city moratorium on housing evictions that will prevent any resident from being evicted due to a loss of income related to a business closure, loss of working hours or wages, layoffs, or out-of-pocket medical costs caused by the pandemic.  On April 28, the Council received the following from the Office of the Mayor: an Executive Order extending the residential eviction moratorium, dated April 22, 2020. </t>
  </si>
  <si>
    <t xml:space="preserve">The Council heard an Ordinance amending the Administrative Code to prohibit landlords of residential hotel units (SROs) from evicting tenants for non-payment of rent that was not paid due to the COVID-19 pandemic, and from imposing late fees, penalties, or similar charges on such tenants; to establish a COVID-19 SRO Relief Fund to cover such rent payments; and making findings as required by the California Tenant Protection Act of 2019. </t>
  </si>
  <si>
    <t>The city has leased trailers and hotel rooms to quarantine homeless people showing signs of infection. It’s also moving some of the 2,000 people in its shelters to new locations throughout the city so they aren't crowded together.</t>
  </si>
  <si>
    <t>San Francisco District Attorney Chesa Boudin directed his prosecutors not to oppose motions to release pretrial detainees facing misdemeanor charges or drug-related felony charges if the person is deemed to pose no threat to public safety.</t>
  </si>
  <si>
    <t>San Joaquin County</t>
  </si>
  <si>
    <t>The Council discussed a Resolution Exercising the Police Powers of the County of San Joaquin to Impose Substantive Limitation on Residential and Commercial Evictions.</t>
  </si>
  <si>
    <t>San Jose</t>
  </si>
  <si>
    <t xml:space="preserve">The Council heard an Urgency Ordinance modifying the provisions of the COVID-19 Eviction Moratorium Ordinance, Ordinance No. 30382, to include the following:
(1) Extending the time for the tenant to notify their landlord of their status as an Affected Tenant to seven days after the notice of termination is served;
(2) Prohibiting retaliation against Affected Tenants;
(3) Prohibit a Landlord from serving a notice in bad faith, or influencing or attempting to influence an Affected Tenant to vacate a Rental Unit through fraud, intimidation or coercion;
(4) Prohibiting late fees, interest, or penalties charged against an Affected Tenant during the moratorium; and
(5) Establishing a repayment period until December 31, 2020 for Affected Tenants to repay their past due rent accruing during the moratorium.
(b) Direct the City Attorney to return with a resolution extending the moratorium on evictions. </t>
  </si>
  <si>
    <t>The City Council will recommend a deferral on a resolution declaring the existence of a continued shelter crisis in the city of San Jose. The Council will also hear a resolution authorizing the City Manager to negotiate and execute a second amendment to the Health Trust grant agreement previously transferred to Destination: Home in the amount of $4.24 million for the employment initiative and homeless prevention system for homeless individuals and families through June 30 2021 to provide housing assistance to low income households impacted by COVID 19, at a cost of $2 million and to provide an option to extend the agreement for one one-year term.</t>
  </si>
  <si>
    <t>The City Council will recommend a deferral on a resolution declaring the existence of a continued shelter crisis in the city of San Jose. The Council will also hear a resolution authorizing the City Manager to negotiate and execute a second amendment to the Health Trust grant agreement previously transferred to Destination: Home SV in the amount of $4.24 million for the employment initiative and homeless prevention system for homeless individuals and families through June 30 2021 to provide housing assistance to low income households impacted by COVID 19, at a cost of $2 million and to provide an option to extend the agreement for one one-year term. Transfer $2 million from City Housing Authority reserve to a Destination: Home COVID 19 appropriation.</t>
  </si>
  <si>
    <t>The Council discussed an Ordinance of the City of San Jose Enacting a Temporary Moratorium on Rent Increases for Tenants, Mobilehome Park Owners, and Mobilehome Residents Residing in Rent-Stabilized Apartments and Mobilehomes, Temporary Suspension of Late Charges for Failure to Pay Apartment Rent Control Fees, Permitting Reduction in Rent Agreements, and Waiver of Repair/Maintenance Application Permit Fees for Rent-Controlled Complexes.</t>
  </si>
  <si>
    <t>San Luis Obispo</t>
  </si>
  <si>
    <t xml:space="preserve">The City Council discussed adopting all limitations on eviction authorized by, and subject to limitations set forth in, Executive Order N-28-20, (attached hereto as Exhibit C) in order to provide eviction protections authorized therein to the residents of the City; such restrictions shall be in place until May 31, 2020 or such other time as may hereafter be specified by the City Council. </t>
  </si>
  <si>
    <t>San Mateo County</t>
  </si>
  <si>
    <t>The Board of Supervisors approved an Emergency Regulation of the County of San Mateo extending for 30 days, through June 30, 2020, temporary, Countywide moratorium on eviction for non-payment of rent by residential tenants directly impacted by the Covid-19 pandemic.</t>
  </si>
  <si>
    <t>San Mateo County supervisors will consider a pair of actions to relieve financial stress caused by the novel coronavirus crisis. The measures are an emergency $3 million “San Mateo County Strong” fund to help residents, nonprofit organizations and small businesses.</t>
  </si>
  <si>
    <t>Coronavirus - San Mateo County Supervisors to vote on eviction ban, assistance fund</t>
  </si>
  <si>
    <t>San Pablo</t>
  </si>
  <si>
    <t>The Housing Successor Agency of the City of San Pablo announced a COVID-19 Housing Assistance Grant Program that will provide a one-time grant of up to $1,000 per household for residents of the city. The grant can be used to help pay for rent, mortgage or utility payments during the Contra Costa County Shelter-in-Place caused by the Covid-19 pandemic. The grants for residents are being funded with $250,000 from the City of San Pablo/Housing Successor Agency’s Low-Income Housing Fund.</t>
  </si>
  <si>
    <t>COVID-19 Housing Assistance Grant available for San Pablo residents</t>
  </si>
  <si>
    <t>Santa Ana</t>
  </si>
  <si>
    <t>The Council Reviewed the City's three Executive Orders adopted in response to the COVID-19 emergency and discussed whether to affirm, amend, extend or rescind that portion of Executive Order No. 2-2020, imposing a temporary prohibition on residential rent increases.</t>
  </si>
  <si>
    <t>Santa Clara</t>
  </si>
  <si>
    <t>The City Council considered a Resolution extending the Moratorium on Evictions for the Non-payment of Rent and No-Fault Evictions for Tenants with Incomes Affected by the Novel Coronavirus (COVID-19) to June 30, 2020.</t>
  </si>
  <si>
    <t>Santa Clara County</t>
  </si>
  <si>
    <t>The Council discussed recommendations relating to a temporary moratorium on evictions, depending on developing circumstances.</t>
  </si>
  <si>
    <t xml:space="preserve">California </t>
  </si>
  <si>
    <t>Santa Clara Co. and City of San Jose</t>
  </si>
  <si>
    <t xml:space="preserve">The County of Santa Clara, City of San Jose, and Continuum of Care partners are working together to move people who have tested positive for COVID-19 to shelter (597 individuals moved into congregate or non-congregate shelters so far). They have expanded shelter capacity by 1,245 beds: 575 motels/hotel rooms in six cities, 250 field respite beds for COVID-19-positive patients, and 420 temporary shelter beds at 4 sites. The City of San Jose is preparing for occupancy 100 state-funded trailers, and creating bridge housing to be occupied in June. The partners agreed to stop encampment sweeps, place hygiene stations in large encampments, and step up  health efforts that include mobile health clinics and identify at risk populations in encampments. </t>
  </si>
  <si>
    <t>Addressing COVID-19 in the Homeless Community</t>
  </si>
  <si>
    <t>Santa Cruz</t>
  </si>
  <si>
    <t>The Council discussed an emergency ordinance preventing evictions for nonpayment of rent due to COVID 19</t>
  </si>
  <si>
    <t>Santa Maria</t>
  </si>
  <si>
    <t>The City Council will Consider a Resolution confirming local emergency orders and actions of the Director of Emergency Services regarding Novel Coronavirus (COVID-19), which include a local emergency order imposing a temporary moratorium on evicting residential and commercial tenants for failure to pay rent due to COVID-19.</t>
  </si>
  <si>
    <t>Santee</t>
  </si>
  <si>
    <t>The Council discussed an urgency ordinance establishing a temporary moratorium on evictions due to nonpayment or rent due to COVID-19.</t>
  </si>
  <si>
    <t>Shasta County</t>
  </si>
  <si>
    <t>The County Board of Supervisors will adopt a resolution which temporarily amends various County policies as well as an urgency ordinance which limits evictions and foreclosures in response to the COVID-19 pandemic.</t>
  </si>
  <si>
    <t>Sonoma County</t>
  </si>
  <si>
    <t>The Board of Supervisors will consider a resolution enacting a moratorium on evictions for tenants impacted by COVID-19.</t>
  </si>
  <si>
    <t xml:space="preserve">The Board of Supervisors discussed a budget resolution authorizing the use of $1,000,000 General Fund contingencies to support the County's response to the proclaimed COVID-19 emergency. </t>
  </si>
  <si>
    <t>South Gate</t>
  </si>
  <si>
    <t>The Council heard a Resolution Extending The Restriction On Evictions Of Commercial And Residential Tenants To June 30, 2020 Due To The Ongoing COVID-19 Pandemic.</t>
  </si>
  <si>
    <t>South San Francisco</t>
  </si>
  <si>
    <t>The City Council received a Report regarding a resolution amending and updating the City of South San Francisco's Local Health Emergency Declaration related to the Novel Coronavirus 2019 (COVID-19).</t>
  </si>
  <si>
    <t>Stanislaus County</t>
  </si>
  <si>
    <t>The Board of. Supervisors will consider Approval to Accept the COVID-19 Emergency Homeless Funding Allocation from the California Homeless Coordinating and Financing Council to Protect Homeless Californians from COVID-19.</t>
  </si>
  <si>
    <t>Emergency Funding: $500 million in emergency funding recently authorized by the Legislature for COVID-19 related activities – $150 million for local emergency homelessness actions. To deploy this first funding allocation, the state will provide:
-$100 million directly to local governments, for shelter support and emergency housing to address COVID-19 among the homeless population, and
-$50 million to purchase travel trailers and lease rooms in hotels, motels, and other facilities in partnership with counties and cities to provide immediate isolation placements throughout the state for homeless individuals.
Local Flexibility: Governor Newsom signed an executive order providing flexibility to local governments to spend their emergency homelessness funding on immediate solutions tailored to combatting COVID-19 and its impacts on the homeless population. The Governor also waived certain regulatory barriers for any shelters or facilities built with this emergency funding.
Purchasing Trailers: The state is immediately procuring 1,309 travel trailers from FEMA and private vendors to provide quarantine capacity – moving people out of shelters and into isolation placements, focused on people with COVID-19 or those demonstrating symptoms. The purposes of this emergency protective measure is to protect healthy people in those facilities and create capacity in the existing shelter network. These trailers will be deployed to California’s largest population centers.
Leasing Hotels &amp; Motels, in Partnership with Counties: The state provided California’s counties with tailored lists of hotels and motels that are potentially available to lease for the next several months. The state is also offering to contact hotels and negotiate leases, if a county requests that assistance. In total, the state has identified over 950 hotels across 53 counties that are potentially eligible for participation in the state’s leasing program. The state and counties have already begun outreach to these hotels and motels now, and when we identify a willing partner, we initiate lease negotiations with the owner.</t>
  </si>
  <si>
    <t>Gov Newsom Takes Emergency Action &amp; Authorizes $150 million in Funding to Protect Homeless California's from COVID 19</t>
  </si>
  <si>
    <t>Construction</t>
  </si>
  <si>
    <t xml:space="preserve">Governor’s executive order exempts residential housing construction and includes language around the supply chains necessary to keep construction moving. </t>
  </si>
  <si>
    <t>Gov Newsom issued an executive order banning the enforcement of eviction orders for renters affected by COVID 19 through May 31. The order prohibits landlords from evicting tenants for nonpayment of rent and prohibits enforcement of evictions by law enforcement or courts. It also requires tenants to declare in writing, no more than seven days after the rent comes due, that the tenant cannot pay all or part of their rent due to COVID-19.</t>
  </si>
  <si>
    <t xml:space="preserve">SB 1088  Would require a city, county, or continuum of care to use at least 12% of specified homelessness prevention or support moneys for services for domestic violence survivors experiencing or at risk of homelessness. Addresses increase in domestic violence incidents as a result of the states shelter-in-place order. </t>
  </si>
  <si>
    <t>Affordable Housing</t>
  </si>
  <si>
    <t>SB 1435: Requires the Governor's Office of Business and Economic Development, in cooperation with the Office of Planning and Research, to track specified information regarding California opportunity zone investments and to post some of that information on the Governor's Office of Business and Economic Development's internet website, in recognition of the COVID-19 public health crisis, the importance of keeping people housed to curb the spread of diseases, and to anticipate the need for affordable housing following major job losses during the COVID-19 emergency.</t>
  </si>
  <si>
    <t>All jury trials suspended for at least 60 days, except for time-sensitive matters which will be done telephonically when possible. The time period to begin criminal and civil trials is extended for 60 days.</t>
  </si>
  <si>
    <t>Governor Newsom issued an executive order to reduce the risks of COVID-19 in state correctional facilities. The order stops the intake and transfer of people to California’s prisons and youth facilities and eliminates most parole revocations. Governor Newsom also used his clemency authority to grant commutations to 21 people in state prisons.</t>
  </si>
  <si>
    <t>EXECUTIVE ORDER N-36-20</t>
  </si>
  <si>
    <t>The California Department of Corrections and Rehabilitation (CDCR) announced on Tuesday that it would expedite the transition to parole for nonviolent offenders with 60 days or less left on their sentences, with priority going to individuals with less than 30 days left. The CDCR also said that it would temporarily suspend intake from county jails, a move that could reduce the prison population by an additional 3,000 within a month.</t>
  </si>
  <si>
    <t xml:space="preserve">Stockton City </t>
  </si>
  <si>
    <t>The City Council Approved a resolution adopting an urgency ordinance that establishes a moratorium on eviction of certain vulnerable residents and for non-payment of rent evictions for tenants with incomes affected by COVID 19. The Council approved $1,235,000 from Council Priorities to an Emergency Coronavirus Response Fund</t>
  </si>
  <si>
    <t>The Council discussed ordinance of the city of stockton extending and amending a temporary moratorium on residential tenant evictions.</t>
  </si>
  <si>
    <t>Sunnyvale</t>
  </si>
  <si>
    <t xml:space="preserve">The City Council adopted an ordinance Enacting a Moratorium on Evictions for Nonpayment Of Rent By Residential Tenants Impacted By The Covid-19 Pandemic. The Council also considered adopting a resolution extending the proclamation of existence of a local emergency and considering directing staff to deter utility rate adjustments for water and solid waste and recycling utilities for one fiscal year in response to the COVID-19 emergency. </t>
  </si>
  <si>
    <t>Tehama County</t>
  </si>
  <si>
    <t>The Board of Supervisors will request approval and authorization for the Executive Director to sign the agreement #20-HCFC-00078 with the Business, Consumer Services, and Housing Agency (BCSH) for the purpose of COVID-19 emergency homelessness funding in the amount of $51,637.36, effective upon signing through 6/30/20.</t>
  </si>
  <si>
    <t>Union City</t>
  </si>
  <si>
    <t xml:space="preserve">The City Council will consider an urgency ordinance of the City of Union City enacting a temporary moratorium on evictions due to nonpayment of rent for residential and commercial tenants where the failure to pay rent is from income loss resulting from the Novel Coronavirus (COVID-19). </t>
  </si>
  <si>
    <t xml:space="preserve">Ventura County </t>
  </si>
  <si>
    <t>A variety of cities in Ventura County, including Camarillo, Ojai, Oxnard, Thousand Oaks, Moorpark, and Simi Valley, have put an eviction moratorium for nonpayment of rent in place. More are considering it.</t>
  </si>
  <si>
    <t xml:space="preserve">Watsonville City </t>
  </si>
  <si>
    <t>The Council discussed: 
1) a motion accepting eviction moratorium‚ housing taskforce recommendations and directing staff to implement the recommendations made by the taskforce; and 
2) resolution adopting safe at home guidelines for landlords &amp; tenants during the covid-19 crisis.</t>
  </si>
  <si>
    <t>West Sacramento</t>
  </si>
  <si>
    <t xml:space="preserve">The Council considered an uncodified ordinance of the City of West Sacramento amending the temporary moratorium on evicting residential and commercial tenants and declaring the ordinance to be an emergency measure to take effect immediately upon adoption. </t>
  </si>
  <si>
    <t>Yolo County</t>
  </si>
  <si>
    <t>The Board of Supervisors also considered adoption of an urgency ordinance restricting residential and commercial evictions during the COVID-19 pandemic and take certain related actions.</t>
  </si>
  <si>
    <t>The Board will authorize the Yolo County Health and Human Services Agency to participate in and receive COVID-19 Emergency Homelessness Funding allocations for the CoC and County from the BCSH to be used for investments into protecting the health and safety of people in the community experiencing homelessness, and reducing the spread of the COVID-19 outbreak through prevention and containment efforts for shelters. The Board will also Receive update and consider any actions needed to support the COVID-19, a virus in the Coronavirus family, response and recovery strategies, including direction on eviction and foreclosure protections.</t>
  </si>
  <si>
    <t>Yucaipa City</t>
  </si>
  <si>
    <t xml:space="preserve">The Council discussed an urgency ordinance of the City Council adopting emergency regulations related to residential and commercial tenant evictions. </t>
  </si>
  <si>
    <t>San Clara Co. and City of San Jose</t>
  </si>
  <si>
    <r>
      <t xml:space="preserve">The County of Santa Clara, City of San Jose, and Continuum of Care Partners are working together to address the needs of homeless individuals. Efforts are concentrated in the following areas: </t>
    </r>
    <r>
      <rPr>
        <b/>
        <sz val="11"/>
        <rFont val="Calibri"/>
        <family val="2"/>
      </rPr>
      <t xml:space="preserve">Stopping spread in the homeless community, setting up temporary shelter beds, conducting ourtreach to unshelted individuals, expanding housing options for individuals needing quarantine and isolation options. </t>
    </r>
    <r>
      <rPr>
        <sz val="11"/>
        <rFont val="Calibri"/>
        <family val="2"/>
      </rPr>
      <t xml:space="preserve">As of March 26th, 172 hotel/motel rooms have been secured for isolation and quarantining. </t>
    </r>
  </si>
  <si>
    <t>A coalition of nonprofits and major employers in Santa Clara County announced a $11 million fund to cover rent and other basic needs for low-income families who have lost income as a result of the coronavirus, either due to health care costs or lost work. Santa Clara County, the city of San Jose and Cisco are the largest contributors, pitching in $2 million each. Each household can receive up to $4,000 per month in direct financial assistance.</t>
  </si>
  <si>
    <t xml:space="preserve">San Jose City Councilmember Magdalena Carrasco alongside regional leaders announced the creation of a new task force aimed at tackling the disproportionate number of growing coronavirus cases among the region’s minorities. The Health and Racial Equity task force will focus on drafting policy recommendations that target racial disparities exacerbated by the pandemic. </t>
  </si>
  <si>
    <t>San Jose leader unveils task force to tackle COVID-19 racial disparities</t>
  </si>
  <si>
    <t>San Leandro</t>
  </si>
  <si>
    <t>The City Council will hear an urgency ordinance enacting a temporary moratorium on evictions due to nonpayment of rent for residential and commercial tenants where the failure to pay rent is from income loss resulting from the Novel Coronavirus (COVID-19).</t>
  </si>
  <si>
    <t>San Mateo County supervisors will consider a pair of actions to relieve financial stress caused by the novel coronavirus crisis. The measures are an emergency regulation that would ban evicting tenants suffering financially during the emergency for nonpayment of rent.</t>
  </si>
  <si>
    <t>Colorado</t>
  </si>
  <si>
    <t>Aurora</t>
  </si>
  <si>
    <t>Denver</t>
  </si>
  <si>
    <t>Denver Mayor Michael Hancock announced that evictions are paused for now</t>
  </si>
  <si>
    <t>The City Council will also hear a bill which establishes the Coronavirus Emergency Response Special Revenue Fund in the General Government Fund Series and rescinds $10,000,000 from General Fund Contingency to make a cash transfer to the new Special Revenue Fund.</t>
  </si>
  <si>
    <t>Garfield County</t>
  </si>
  <si>
    <t>Garfield County Commissioners voted unanimously to approve a transfer of $500,000 of emergency funds to the Department of Human Services for Garfield County’s Emergency General Assistance program, which can cover rent, utilities, transportation, food and some personal needs. The program provides up to $1,500 per person (or $3,000 per household) and will last until funds are gone.</t>
  </si>
  <si>
    <t>Garfield County extends cash assistance program for rent, food during COVID-19</t>
  </si>
  <si>
    <t>Governor Jared Polis issued an executive order allocating $3 million in Disaster Emergency state funds to be used for short-term rental and mortgage assistance (up to 6 months) for Coloradans struggling to stay housed during the pandemic.</t>
  </si>
  <si>
    <t>Governor Polis issued an executive order putting a temporary moratorium on receiving new intakes from county jails. The Colorado Dept. of Corrections is also suspending arrests of parolees for low-level violations.</t>
  </si>
  <si>
    <t>GUIDANCE TO COUNTIES, MUNICIPALITIES, LAW ENFORCEMENT AGENCIES, AND DETENTION CENTERS</t>
  </si>
  <si>
    <t xml:space="preserve">On March 25, Governor Polis also issued an executive order temporarily suspending certain regulatory statutes concerning criminal justice in response to COVID-19. 4 The order notes that no directive supersedes the rights provided to victims under the Colorado Victim Rights Act. The order outlines broad discretion for the Colorado Department of Corrections (DOC) and includes directives on temporarily suspending:
o DOC’s duty to receive and take custody of prisoners;
o Caps on criteria on awards of earned time credits;
o Criteria for special needs parole;
o The requirement for an incarcerated individual to successful complete programming;
o Provisions for adjusting custody level and mixing classifications to free up beds;
o The requirements for annual appropriation transfer limits; and
o The ability to reallocate funding to the purpose of subsistence payments. </t>
  </si>
  <si>
    <t>EXECUTIVE ORDER: Temporarily Suspending Certain Regulatory Statutes Concerning Criminal Justice</t>
  </si>
  <si>
    <t>Connecticut</t>
  </si>
  <si>
    <t xml:space="preserve">Established a tax deferral program for landlords or any taxpayer that rents or leased to commercian, residential tenants. Landlord must provide documentation to the municipality that the parcel has or will suffer a  significant income decline or that commensurate forbearance was offered to their tenants or lessees. Any taxpayer that rents or leases to any commercial, residential, or institutional tenant or lessee shall only be eligible for the Low Interest Rate Program if said landlord offers commensurate forbearance to tenants or lessees, upon their request. </t>
  </si>
  <si>
    <t>Services</t>
  </si>
  <si>
    <t>Executive Order modified statute to permit the delivery of take-home doses of methadone for the treatment of drug dependent patients who are determined to be unable to travel to a treatment facility due to COVID 19</t>
  </si>
  <si>
    <t>Delaware</t>
  </si>
  <si>
    <t>Delaware Justice of the Peace Court has postponed all landlord/tenant proceedings until May 1.</t>
  </si>
  <si>
    <t>To assist Delawareans facing financial hardships as a result of the COVID-19 health crisis, DSHA created the Delaware Housing Assistance Program (DE HAP). Households are eligible for up to $1,500 in assistance, with payments made directly to the property owner or utility company. To be eligible for DE HAP, applicants must have a maximum household income at or below 80% of the Area Median Income (AMI) for the county in which they reside.</t>
  </si>
  <si>
    <t>District of Columbia</t>
  </si>
  <si>
    <t>City</t>
  </si>
  <si>
    <t xml:space="preserve">The D.C. Superior Court has suspended evictions of all tenants and foreclosed homeowners. Landlords cannot evict residents or carry forward with existing evictions, or charge tenants late fees, for the duration of the public health emergency. Utility companies likewise cannot shut off gas, water, or electric service for nonpayment. The emergency measures also extend deadlines for tenants and tenant associations for rental housing conversion processes during the emergency. </t>
  </si>
  <si>
    <t>The Council’s emergency legislation allows the Mayor to place families experiencing homelessness in interim housing for up to 60 days, with the ability to extend for the duration of the public health emergency. Housing providers can also transfer residents to new housing for public health purposes, as part of the District’s continuum of care for individuals and families who are experiencing homelessness. The emergency measures also allow housing providers to communicate by email (rather than by mail or in-person) during the emergency.</t>
  </si>
  <si>
    <t xml:space="preserve">District of Columbia Mayor Muriel Bowser announced a new rental assistance effort that would redistribute $1.5 million of the city budget to provide rental assistance to low-income households. </t>
  </si>
  <si>
    <t xml:space="preserve">PR 787  Declares the existence of an emergency with the respect to the need to amend the COVID-19 Response Supplemental Emergency Amendment Act of 2020 to include mortgage lenders as covered entities, require notice of approved deferral applications, and to clarify the amount a landlord may require a tenant to repay following the deferral period. </t>
  </si>
  <si>
    <t>During the public health emergency, the Department of Corrections can award additional “good time” credits beyond what is currently allowed so people who are incarcerated for misdemeanors can be released early.</t>
  </si>
  <si>
    <t>Florida</t>
  </si>
  <si>
    <t xml:space="preserve">Broward County </t>
  </si>
  <si>
    <t>Broward Chief Circuit Judge Jack Tuter is ordering a halt to all evictions in the county as Broward continues to lead the state in positive cases of the COVID-19 virus.</t>
  </si>
  <si>
    <t>Daytona Beach</t>
  </si>
  <si>
    <t>Daytona Beach has made $619,500 fund available for rent assistance. Low- and moderate-income renters can apply to receive up to $3,000 for two months of rental payments. Maximum assistance will be capped at $1,500 per month and $3,000 total per household. The funds are coming from the city’s allocation of Community Development Block Grant (CDBG) federal funds and specific CDBG coronavirus funding expected to be received later this summer.</t>
  </si>
  <si>
    <t>Coronavirus: Daytona Beach residents can apply for rent relief</t>
  </si>
  <si>
    <t>Duval County</t>
  </si>
  <si>
    <t>The City Council considered an Urgency Ordinance of the City of Hermosa Beach (Attachment 1) amending Ordinance No. 20-1406U (Attachment 2) to amend the temporary moratorium on foreclosures and evictions due to non-payment of rent by residential and commercial tenants impacted by the Novel Coronavirus (COVID-19), and setting forth the facts constituting such urgency.</t>
  </si>
  <si>
    <t>Hialeah</t>
  </si>
  <si>
    <t>The City Council heard a proposed resolution establishing a Temporary Landlord-Tenant Relief Fund Grant, in an amount not to exceed $1,000,000.00, for eligible renter households in the City of Hialeah, in response to economic injury as a result of Coronavirus (COVID-19).</t>
  </si>
  <si>
    <t>Hillsborough Co.</t>
  </si>
  <si>
    <t>Suspended through April 20th</t>
  </si>
  <si>
    <t>Hillsborough County Sheriff Chad Chronister announced that 164 "low level, nonviolent" offenders would be released from county jails.</t>
  </si>
  <si>
    <t>Jacksonville</t>
  </si>
  <si>
    <t>The City Council considered a resolution which would authorize an up to 6 month Moratorium on Collection of Rent, Additional Rent &amp; Other Sums Owed by Eligible Tenants or Licensees Under any Lease or License Agreement to which City is a Party as Landlord or Licensor for Tenants &amp; Licensees Negatively Impacted by COVID-19.</t>
  </si>
  <si>
    <t>Kissimmee</t>
  </si>
  <si>
    <t xml:space="preserve">The City of Kissimmee has modified its eviction prevention program to assist low-income residents who have been impacted by coronavirus. The modified program offers a maximum amount of $1,200 for housing assistance or one month of rent, whichever is less. Funding is provided through the CARES Act. </t>
  </si>
  <si>
    <t>Lakeland</t>
  </si>
  <si>
    <t>Lakeland commissioners voted unanimously  to approve a $930,310 Emergency Rent Relief Program for city residents who have experienced a loss of income. The city received approximately $575,000 in Community Block Development Grants under the federal CARES Act. The city added $350,000 from its existing stream of community development grants and $180,00 from State Housing Initiative Program funds to increase the funding available.</t>
  </si>
  <si>
    <t>Coronavirus: Lakeland approves $930K for rent assistance to residents within city limits</t>
  </si>
  <si>
    <t>Miami Beach</t>
  </si>
  <si>
    <t>Miami City Commission approved the use of $549,111 in federal and state funds to help renters pay their landlords. Depending on the program a renter qualifies for, the money will cover three to six months of rent. For now, however, the city will provide only enough money to help tenants with overdue rent.</t>
  </si>
  <si>
    <t>Rent assistance available in Miami Beach, as food drives ramp up during COVID crisis</t>
  </si>
  <si>
    <t xml:space="preserve">Miami-Dade County </t>
  </si>
  <si>
    <t>Mayor Gimenez declared that the police department would halt eviction activities for the duration of the coronavirus outbreak.</t>
  </si>
  <si>
    <t>Coronavirus has led cities to halt evictions in an effort to protect public health</t>
  </si>
  <si>
    <t xml:space="preserve">Orange County </t>
  </si>
  <si>
    <t xml:space="preserve"> Orange County Sheriff’s Office suspended all eviction activities amid COVID 19.</t>
  </si>
  <si>
    <t>The Orange County government has made the COVID-19 Rental Assistance Program available as a one-time benefit for Orange County residents who qualify. The program will provide assistance with one month’s rent, so residents will be able to use their limited funds on other necessities.</t>
  </si>
  <si>
    <t>Palm Bay</t>
  </si>
  <si>
    <t>The city of Palm Bay announced that it would provide residents with rental and utility assistance under the Eviction Prevention/Rental and Utility Assistance Program. The program is designed to assist residents who have become delinquent on rent and/or utility payments due to the impacts of COVID-19.</t>
  </si>
  <si>
    <t>Coronavirus: Palm Bay to provide rental, utility assistance to residents in need</t>
  </si>
  <si>
    <t>Pinellas</t>
  </si>
  <si>
    <t>The  Board of Commissioners Adopted a Resolution Approving Pinellas CARES Financial Assistance Program.</t>
  </si>
  <si>
    <t>Board of Commissioners Agenda</t>
  </si>
  <si>
    <t>Port St. Lucie</t>
  </si>
  <si>
    <t>Port St. Lucie renters experiencing an economic hardship because of COVID-19 can apply to the city for help paying their monthly bills. The City Council Monday approved the COVID-19 Emergency Rental and Mortgage Assistance grant program to pay past-due rent or mortgage payments from April 1.</t>
  </si>
  <si>
    <t>Coronavirus Florida: Port St. Lucie creates rent, mortgage-relief program for residents impacted by COVID-19</t>
  </si>
  <si>
    <t>Seminole Co., Brevard Co., and Osceola Co.</t>
  </si>
  <si>
    <t xml:space="preserve">18th District Court has suspended evictions until April 15. Can be extended if needed. </t>
  </si>
  <si>
    <t>Governor DeSantis along with the Florida Housing Finance Corporation has announced the distribution of $5 million to local governments through the State Housing Initiatives Partnership program. The funding will serve to assist individuals and families in Florida impacted by the COVID-19 pandemic with the housing assistance and resources.</t>
  </si>
  <si>
    <t>Gov.DeSantis, Florida Housing providing local governments $5M in housing assistance</t>
  </si>
  <si>
    <t xml:space="preserve">Georgia </t>
  </si>
  <si>
    <t>Atlanta</t>
  </si>
  <si>
    <r>
      <rPr>
        <b/>
        <sz val="11"/>
        <rFont val="Calibri"/>
        <family val="2"/>
      </rPr>
      <t>(Note: not a citywide ban)</t>
    </r>
    <r>
      <rPr>
        <sz val="11"/>
        <rFont val="Calibri"/>
        <family val="2"/>
      </rPr>
      <t xml:space="preserve"> Mayor Keisha Lance Bottoms issued an order that called on the Atlanta Housing Authority, Atlanta Beltline Inc., Fulton County/City of Atlanta Land Bank Authority, Invest Atlanta, Partners for Home, and the City of Atlanta’s Department of Grants and Community Development to institute a temporary moratorium effective immediately. The order instructs those involved to not allow any issuance of termination or eviction for the non-payment of rent and to not allow any late fees or other charges because of late or non-payment of rent for those 60 days in any property either sponsored or funded by any of the above organizations. </t>
    </r>
  </si>
  <si>
    <t>Mayor Bottoms issued an Executive Order creating a $7 million emergency fund to provide assistance to those impacted by COVID-19. $1 million to provide emergency assistance to child food programs, $1 million to provide emergency assistance to senior food programs.</t>
  </si>
  <si>
    <t>Mayor Bottoms issued an Executive Order creating a $7 million emergency fund to provide assistance to those impacted by COVID-19. $1 million is to provide emergency assistance to homeless preparedness.</t>
  </si>
  <si>
    <t xml:space="preserve">Dekalb County </t>
  </si>
  <si>
    <t xml:space="preserve">DeKalb Marshal Richard Berkowitz said he suspended all such operations until further notice </t>
  </si>
  <si>
    <t>Fulton County</t>
  </si>
  <si>
    <t>Fulton Co. Sheriff and Marshal have confirmed that they are not carrying out evictions at the present time due to COVID 19</t>
  </si>
  <si>
    <t>QAP</t>
  </si>
  <si>
    <t>Since most local governments have suspended public forums, the application due date for the 9% competitive round will be postponed by one month. All applicationswill be due by 4:00PM on June 18, 2020.</t>
  </si>
  <si>
    <t>Georgia Community Affairs Interim Policy Response to COVID 19</t>
  </si>
  <si>
    <t>Georgia’s chief justice has declared a statewide judicial emergency, ordering courts and clerk’s offices  to “suspend all but essential court functions” amid growing concerns about the spread of coronavirus. Landlords can still file for evictions.</t>
  </si>
  <si>
    <t>The Georgia Board of Pardons and Paroles has started reviewing the cases for the release of inmates within 180 days of sentance completion or tentative parole. It could lead to the release of up to 200 inmates who are serving time for non-violent offenses.</t>
  </si>
  <si>
    <t>Guam</t>
  </si>
  <si>
    <t>Territory</t>
  </si>
  <si>
    <t>B 340: An act relative to the issuance of unconditional cash payments to eligible Guam residents under the state of public health emergency due to the coronavirus disease (COVID-19) outbreak, to be known as the Recovery Income Support and Empowerment (Rise) Act of 2020.</t>
  </si>
  <si>
    <t>35TH GL BILL LOG.</t>
  </si>
  <si>
    <t>Hawaii</t>
  </si>
  <si>
    <t>Honolulu</t>
  </si>
  <si>
    <t xml:space="preserve">Hawaii Community Lending (HCL) is partnering with the Honolulu Board of Realtors to provide emergency loans to tenants through their landlords. Landlords will be required to commit tenant security deposits as collateral for emergency loans covering up to two months of rent with a maimum loan amount of $5,000. HCL plans to use $100,000 for city and county grant-in-aid funds for the program. </t>
  </si>
  <si>
    <t>Mayor Kirk Caldwell and the City and County of Honolulu launches the COVID-19 Household Hardship Relief Program with $25 Million in CARES Act funds designed to support households economically impacted by the COVID-19 pandemic. Oʻahu residents can reach out to one of our non-profit community partners to apply directly beginning May 18, 2020 Eligible payments may include rent, mortgage, certain utilities, childcare providers recognized by Department of Human Services, and other emergency expenses.</t>
  </si>
  <si>
    <t>City and County of Honolulu COVID-19 Household Hardship Relief Program</t>
  </si>
  <si>
    <t>The Hawaiian Homes Commission has approved the establishment of the DHHL COVID-19 Emergency Rental Assistance Program. The program will provide eligible native Hawaiian beneficiaries who are on the Department’s Applicant Waiting List, as of Dec. 31, 2018, with rental assistance using Native Hawaiian Housing Block Grant funds.</t>
  </si>
  <si>
    <t>DHHL Offers Emergency Rental Assistance</t>
  </si>
  <si>
    <t xml:space="preserve">The Hawaii Supreme Court has appointed a special master to coordinate potential releases with public defenders and prosecutors. </t>
  </si>
  <si>
    <t>Idaho</t>
  </si>
  <si>
    <t xml:space="preserve">Boise </t>
  </si>
  <si>
    <t>The city of Boise voted Tuesday to waive rent for April in its roughly 300 units of rental housing and block evictions for any of its residents.</t>
  </si>
  <si>
    <t>Idaho’s Housing Preservation program provides financial assistance to renters who cannot afford to pay their rent and are at risk of eviction due to circumstances related to the COVID-19 health crisis. Eligibility is restricted to legal U.S. citizens and households with an income at or below 50 percent of AMI.</t>
  </si>
  <si>
    <t>Idaho Housing offers renter, landlord assistance</t>
  </si>
  <si>
    <t>Illinois</t>
  </si>
  <si>
    <t>Chicago</t>
  </si>
  <si>
    <t>The City of Chicago, The Chicago Community Trust, and United Way of Metro Chicago launched the Chicago Community COVID-19 Response Fund to unite the funds raised by Chicago’s philanthropies, corporations, and individuals to be disbursed to the region's health and human service nonprofit organizations. The first round of funding prioritized support to nonprofit organizations that provide community safety nets, such as emergency food and supplies, mortgage and utility assistance, as well as direct financial assistance due to recent job loss as a result of COVID-19  (includes Alliance to End Homelessness)</t>
  </si>
  <si>
    <r>
      <rPr>
        <b/>
        <sz val="11"/>
        <rFont val="Calibri"/>
        <family val="2"/>
      </rPr>
      <t xml:space="preserve">(Note: not citywide) </t>
    </r>
    <r>
      <rPr>
        <sz val="11"/>
        <rFont val="Calibri"/>
        <family val="2"/>
      </rPr>
      <t>The Chicago Housing Authority is deferring rent for thousands of tenants through the end of the April, in line with the newly extended statewide stay-at-home order. Mayor Lori Lightfoot made the announcement, and asked private landlords to grant the same reprieve to renters who have been laid off or furloughed as a result of the coronavirus outbreak</t>
    </r>
  </si>
  <si>
    <t xml:space="preserve">The City of Chicago is offering emergency housing assistance for individuals and families impacted by COVID 19. Applications will be received between March 27 and April 1. The fund will award 2,000 Grants of $1,000 each. Half of these grants will be awarded through a lottery system, while the other half will be distributed by nonprofit community organizations across the city. Made possible by a partnership with the Family Independence Initiative (FII), DOH will deploy $2 million from the Affordable Housing Opportunity Fund (AHOF) to fund one-time grants to help impacted Chicagoans with rent and mortgage payments. </t>
  </si>
  <si>
    <t>Cook County</t>
  </si>
  <si>
    <t>No orders for an eviction or foreclosure will be entered until April 30</t>
  </si>
  <si>
    <t>Peoria Co., Tazewell Co., Marshall Co., Putnam Co., and Stark Co.</t>
  </si>
  <si>
    <t>The 10th Judicial Circuit has postponed all eviction court cases until April 17 in Peoria, Tazewell, Marshall, Putnam, and Stark counties.</t>
  </si>
  <si>
    <r>
      <t>Governor issues stay at home order; Construction projects deemed essential and may continue "</t>
    </r>
    <r>
      <rPr>
        <b/>
        <sz val="11"/>
        <rFont val="Calibri"/>
        <family val="2"/>
      </rPr>
      <t>Essential Infrastructure includes, but is not limited to: food production, distribution, and sale; construction (including, but not limited to, construction required in response to this public health emergency, hospital construction, construction of long-term care facilities, public works construction, and housing construction);"</t>
    </r>
  </si>
  <si>
    <r>
      <rPr>
        <b/>
        <sz val="11"/>
        <rFont val="Calibri"/>
        <family val="2"/>
      </rPr>
      <t>FOOD ACCESS</t>
    </r>
    <r>
      <rPr>
        <sz val="11"/>
        <rFont val="Calibri"/>
        <family val="2"/>
      </rPr>
      <t xml:space="preserve">: The Pritzker administration is working directly with the eight major food banks across Illinois to expand services. The administration is reaching out to food manufacturers to ensure food banks are prioritized and can provide our vulnerable residents the food they need. ISBE obtained a waiver from the federal government to continue distributing meals to all children who qualify for free and reduced lunch. The Governor is also encouraging schools to expand their meal distribution program to all children under 18 or to any student enrolled in an Illinois school, regardless of their age.
</t>
    </r>
    <r>
      <rPr>
        <b/>
        <sz val="11"/>
        <rFont val="Calibri"/>
        <family val="2"/>
      </rPr>
      <t>Free/Low Cost Internet</t>
    </r>
    <r>
      <rPr>
        <sz val="11"/>
        <rFont val="Calibri"/>
        <family val="2"/>
      </rPr>
      <t>: Various broadband providers and mobile carriers are offering free or low-cost access in response to the COVID-19 pandemic. The National Digital Inclusion Alliance has information on providers and programs offering free or low-cost broadband. Please visit the DCEO website for more information.</t>
    </r>
  </si>
  <si>
    <t xml:space="preserve">The Illinois Department of Human Services (IDHS) is making $6 million available throughout the state for emergency lodging for people experiencing homelessness. These emergency funds will be made available through local Continuums of Care (CoC), local or regional \planning bodies recognized by the U.S. Department of Housing and Urban Development that coordinate housing and services funding for homeless families and individuals. IDHS is working to quickly implement this emergency lodging program. CoCs will work with local service providers to fund solutions tailored to the unique needs of their communities. Options may include hotels, motels, and other safe and appropriate accommodations. DHS is also increasing existing FY20 funding for Emergency and Transitional Housing, Supportive Housing, and Homeless Prevention by 5% to increase capacity during this crisis. </t>
  </si>
  <si>
    <t>The final FY21 state budget includes $396 million in COVID-19-related rent and mortgage assistance. The funding comes from the State of Illinois’ portion of the federal Coronavirus Relief Fund and will benefit those impacted by the COVID-19 public health emergency. Subordinate “gap” financing to complete affordable housing development projects is also an allowable use of the funds. The funds, which can be used for costs incurred between March 1 and December 30 of 2020, were appropriated to the Illinois Housing Development Authority (IHDA).</t>
  </si>
  <si>
    <t>2020 General Assembly Wrap-Up</t>
  </si>
  <si>
    <t>Governor Pritzker signed an executive order to facilitate prison releases. The order eases restrictions on early release for good behavior, eliminating a prior rule that required a 14-day notification to the State Attorney’s office.</t>
  </si>
  <si>
    <t>EXECUTIVE ORDER IN RESPONSE TO COVID-19 (COVID-19 EXECUTIVE ORDER NO. 9)</t>
  </si>
  <si>
    <t>All admissions to the Department of Corrections from all county jails are suspended (executive Order No.11). The department will continue to release indivduals being paroled or discharged. These individuals will be screened and have thier temperature taken upon release. The department is exploring additional options for early release of additional individuals.</t>
  </si>
  <si>
    <t>Indiana</t>
  </si>
  <si>
    <t>Columbus</t>
  </si>
  <si>
    <t>The Columbus Board of Works and Public Safety has set aside $200,000 to provide emergency financial assistance to pay rent and utility bills for local residents Initially, the city will attempt to limit expenditures on rental or utility assistance to $125,000. However, an additional $75,000 has been set aside in the event that more assistance is required. Most of this money comes from a supplemental $183,761 received through the Community Development Block Grant (CDBG) program. Originating from the U.S. Dept. of Housing and Urban Development, this supplemental money can be spent on whatever local officials feel they needs to alleviate suffering from the COVID-19 crisis. In order to raise the total amount available for rental and utility assistance to $200,000, additional money originally earmarked for other purposes was added to the supplemental grant.</t>
  </si>
  <si>
    <t>City creates help fund for rent, utilities</t>
  </si>
  <si>
    <t>Evansville</t>
  </si>
  <si>
    <t>The city is set to receive more than $700,000 for rent assistance and other homelessness prevention efforts and to support homeless shelters via an annual Housing and Urban Development (HUD) grant three times larger than usual. City Council is finalizing the necessary process for the city to receive a $1.6 million extra allocation of its federal Community Development Block Grant, money which also is available because of the CARES Act.</t>
  </si>
  <si>
    <t>Rent assistance efforts among uses for COVID-19 economic relief to Evansville area</t>
  </si>
  <si>
    <t>Governor Holcomb issued Order 20-08 (Stay At Home) and halting all non essential construction. Essential Infrastructure includes, but is not limited to: food production, distribution, and sale; construction (including, but not  limited to, construction required in response to this public health emergency, hospital construction, construction of long-term care facilities, public works construction, and housing construction</t>
  </si>
  <si>
    <t>Gov Holcomb announced an executive order indicating that no residential eviction proceedings or foreclosure actions may be initiated during the public health emergency. This does not relieve the individual of obligations to pay rent or mortgage payments. The state of emergency order is through April 5.</t>
  </si>
  <si>
    <t>Governor Holcomb joined with the Chief Justice, Senate President Pro Tem, and House Speaker of Indiana signed a joint letter suggesting that local officials work to safely release individuals. The criteria include low-risk juveniles and adults that can be transferred to community supervision.</t>
  </si>
  <si>
    <t>covid19-2020-0403-release-assessment-local-effort</t>
  </si>
  <si>
    <t>Indiana Housing &amp; Community Development Authority instructs all market analysts and capital needs assessors performing work for developments funded by IHCDA or applying for funding through IHCDA to cease site visits, fieldwork, and onsite inspections until further notice. Virtual work may continue. Applications and organizations will be penalized if materials are submitted to IHCDA demonstrating fieldwork continued after the issuance of this notice.</t>
  </si>
  <si>
    <t xml:space="preserve">Eviction Moratorium- Federal Requirement: Section 4024 of the CARES Act prohibits evictions due to non-payment of rent for 120 days beginning on March 27, 2020 (date of enactment of the Act) for certain types of housing. During this 120-day period, owners may not initiate legal action (e.g. file evictions with the court) or issue notices to vacate. The earliest a tenant can be required to vacate is 30 days after the end of the 120-day period. Further, owners may not charge late fees or other penalties to tenants who are unable to pay rent. This prohibition applies to any housing that:
1. Participates in a covered program under the Violence Against Women Act (VAWA), which includes but is not limited to, LIHTC, HOME, Housing Trust Fund, and Section 8;
2. Participates in the rural housing voucher program under section 542 of the Housing Act of 1949; or
3. Has a federally backed mortgage loan or federally backed multifamily mortgage loan.
Late Recertifications - It may be a challenge to obtain income verification documentation on time from tenants. If the recertification is completed after the anniversary date of move-in, simply document why the verification was completed late and mark “True and Effective as of” on the recertification TIC and income documentation. Continue to keep the effective date on the anniversary of the household move-in date. Since this is self-reported non-compliance, there will be no issuance of an 8823.
</t>
  </si>
  <si>
    <t>A legislative task force will meet for the first time on May 18 to examine why COVID-19 is hitting African-American communities harder than the rest of the state. The Legislative Black Caucus asked Gov. Eric Holcomb to create the task force, after numbers showed a spike in COVID-19 within African American communities across Indiana. The task force has until June 30 to come up with a corrective action plan to address these disparities and the rising infection rate in the state prison system.</t>
  </si>
  <si>
    <t>Racial Disparity Task Force To Meet On COVID-19</t>
  </si>
  <si>
    <t>Iowa</t>
  </si>
  <si>
    <t>Davenport</t>
  </si>
  <si>
    <t>The City of Davenport is also offering a program to help renters during the pandemic. Applicants may get up to $1,000 in rental assistance each month for three months. Residents can access emergency funds during the COVID-19 pandemic through the Quad Cities Open Network.</t>
  </si>
  <si>
    <t>Davenport offers rental assistance in wake of COVID-19 pandemic; other resources available</t>
  </si>
  <si>
    <t>Polk County</t>
  </si>
  <si>
    <t>Polk County to open shelter at Iowa State Fairgrounds for homeless people who contract COVID-19</t>
  </si>
  <si>
    <t>Iowa Governor Kim Reynolds has enacted a temporary suspension of some evictions and paused the commencement of foreclosure proceedings and the prosecution of ongoing foreclosure proceedings on residential, commercial, and agricultural real property located in the state of Iowa. The new rules are part of a state of public health disaster emergency plan set to expire on April 16, 2020, unless extended.</t>
  </si>
  <si>
    <t>The Iowa Department of Corrections plans to expedite the release of about 700 inmates who were already determined eligible for release by the Iowa Board of Parole.</t>
  </si>
  <si>
    <t>Kansas</t>
  </si>
  <si>
    <t>SB 66:  Part of a larger budget bill. Appropriates a sum of $65 million to coronavirus response funding. $50 will be directed to coronavirus expenditures and $15 million will be appropriated for emergency management related to the coronavirus.</t>
  </si>
  <si>
    <t>Kentucky</t>
  </si>
  <si>
    <t>Louisville</t>
  </si>
  <si>
    <t>The City of Louisville has created an emergency fund to deploy resources to residents impacted by COVID-19. The fund will provide funding for rental assistance, child care assistance, transportation aid, food access, utility assistance, pharmaceutical needs and other. The budget committee approved a resolution to  re-allocate $500,000 from an existing pot of money to housing assistance for certain residences financially impacted by COVID-19. The funding would be administered by Develop Louisville, the city's real estate and community development arm.</t>
  </si>
  <si>
    <t>Owensboro</t>
  </si>
  <si>
    <t xml:space="preserve">The City is providing a $150,000 Low Income Rental Assistance program for individuals who reside in the City, offering to cover up to three months rent for those who earn less than 80% of the area median income for their household size. Federal Community Development Block Grant (CDBG) funds are being used for the rental assistance program. </t>
  </si>
  <si>
    <t xml:space="preserve">City announces COVID-19 emergency assistance for businesses, residents </t>
  </si>
  <si>
    <t xml:space="preserve">Kentucky Courts cancelled evictions proceedings until April 10. Does not apply to cases that had already been sent to the sheriff's office to execute. </t>
  </si>
  <si>
    <t>Louisiana</t>
  </si>
  <si>
    <t>Monroe</t>
  </si>
  <si>
    <t>Monroe City will be offering COVID-19 rental and mortgage assistance. An application will be up on the city website by Friday, May 8, for rental and mortgage assistance. The small business loans and housing assistance would derive from an extra $436,000 provided to the city through HUD.</t>
  </si>
  <si>
    <t>Monroe families, businesses to benefit from federal dollars for COVID-19</t>
  </si>
  <si>
    <t>New Orleans</t>
  </si>
  <si>
    <t>Judges in New Orleans said they would suspend all residential evictions in response to the growing threat of the novel coronavirus</t>
  </si>
  <si>
    <t>The Mayor's Office of Community Development has partnered with Southeast Louisiana Legal Services, Total Community Action and New Orleans Family Justice Alliance to provide immediate financial and legal assistance for homelessness prevention which includes rental assistance and foreclosure mitigation. The program will begin with $500,000 which may be increased as more funding becomes available. The fund is expected to serve approximately 600 households with an average grant amount of $750 per household and is expected to last for 90 days or until such time that the funding is exhausted.</t>
  </si>
  <si>
    <t>Gov. John Bel Edwards announced that the State has committed $10,382,000 in community development block grant (CDBG) funds to the City of New Orleans for affordable housing. New Orleans will provide rental and utility assistance to low income households that have been impacted by COVID-19 pandemic. The rental assistance grant is based on the tenant’s ability to pay and the amount of funds needed to bring the account current.</t>
  </si>
  <si>
    <t>CITY RECEIVES $10.4M FROM STATE IN AFFORDABLE HOUSING GRANTS IN RESPONSE TO COVID-19 OUTBREAK</t>
  </si>
  <si>
    <t>The deputy chief judge of the Orleans Criminal District Court signed an order calling for the Orleans Parish Sheriff's office to immediately release individuals in jail for the following reasons: awaiting trial for a misdeamenor, failure to appear at a probation hearing, contempt of court, or a failed drug screen while on bond</t>
  </si>
  <si>
    <t xml:space="preserve">Louisiana Governor John Bel Edwards announced on March 18 that the state is suspending foreclosures and evictions. </t>
  </si>
  <si>
    <t>Gov. John Bel Edwards said Louisiana will try to combat the racial disparities in coronavirus deaths with a task force aimed at educating at-risk minority communities about COVID-19 risks. The task force also will conduct long-term research about how to address underlying health gaps between blacks and whites in the state.</t>
  </si>
  <si>
    <t>Louisiana governor creating task force to address racial disparities in COVID-19 crisis</t>
  </si>
  <si>
    <t>Maine</t>
  </si>
  <si>
    <t>Portland</t>
  </si>
  <si>
    <t>Mayor Kate Snyder is calling on landlords to halt evictions and suspend rent increases for at least 90 days while the state and nation try to stop the spread of the coronavirus. This is guidance only and not an official ordinance. Recommendations include halting evictions for 90 days for those who can show they have been financially affected by the outbreak, suspending rent increases for 90 days, and creating payment plans and waiving late fees for residents who can’t pay their rent because of the outbreak.</t>
  </si>
  <si>
    <t>Guidance only</t>
  </si>
  <si>
    <t xml:space="preserve">No statewide eviction moratorium in place. Courts are closed for eviction hearings until May 1, but courts are still issuing writs of possession, and in most counties in Maine, they are still being served./ Maine Public Utilities Commission (PUC) directed utility providers to stop all shut-offs, including disconnection notices or demands immediately. This covers electric, water, natural gas, and certain home telephone providers. </t>
  </si>
  <si>
    <t>The Maine Housing COVID-19 Rent Relief Program is for renters who cannot afford to pay their rent due to circumstances related to the coronavirus pandemic. The program was appropriated $5 million is designed to provide a one time payment of up to $500, until the federal relief funds get to the individuals who need them.</t>
  </si>
  <si>
    <t>COVID-19 Rental Relief Program</t>
  </si>
  <si>
    <t>Maryland</t>
  </si>
  <si>
    <t>Baltimore City</t>
  </si>
  <si>
    <t>The Council heard an ordinance for the purpose of prohibiting the increase of rent during and after certain declared emergencies; prohibiting certain notices to tenants; requiring certain notices to tenants; prohibiting certain late fees; defining certain terms; providing for a date of termination of the prohibitions; providing for a special effective date; and generally relating to protecting Baltimore City tenants.</t>
  </si>
  <si>
    <t>Mayor Jack Young announced his plan to commit $13 million of Community Development Block Grant-CV funds for the establishment of a temporary rental assistance program.</t>
  </si>
  <si>
    <t>Mayor Young commits $13 million to a temporary rental assistance program</t>
  </si>
  <si>
    <t>Baltimore County</t>
  </si>
  <si>
    <r>
      <t xml:space="preserve">The Mayor’s Office of Homeless Services (MOHS) has developed a COVID-19 Response Plan to mitigate risk for individuals experiencing homelessness. This includes policies for </t>
    </r>
    <r>
      <rPr>
        <b/>
        <sz val="11"/>
        <rFont val="Calibri"/>
        <family val="2"/>
      </rPr>
      <t xml:space="preserve">Emergency Shelter Assessment and Testing, Hospital Discharge Practices, Isolation Sites, Social Distancing in Shelters, and Outreach to Unsheltered Homeless </t>
    </r>
  </si>
  <si>
    <t>County Sheriff R. Jay Fisher has suspended all evictions in the county for as long as the state of emergency is in effect.</t>
  </si>
  <si>
    <t>Baltimore State’s Attorney Marilyn Mosby ordered her staff Wednesday to dismiss pending criminal charges against anyone arrested for possessing drugs including heroin, attempted distribution of any drug, prostitution, trespassing, minor traffic offenses, open container and urinating in public.
In addition, Mosby sent a letter to Gov. Larry Hogan urging him to free all inmates over the age of 60 in state prisons, anyone approved for parole, and all prisoners scheduled to complete their sentences within the next year. She asked the governor to release them under supervision.</t>
  </si>
  <si>
    <t>Harford County</t>
  </si>
  <si>
    <t>Harford County announced the creation of a program that will help cover up to three months’ worth of rental expenses for people whose income is at or below 80 percent of the area’s median income due to COVID-19. The program will be funded using federal money.</t>
  </si>
  <si>
    <t>Coronavirus Response: Harford County Launches Temporary Rent Assistance Program, Reopens Playgrounds</t>
  </si>
  <si>
    <t>Howard County</t>
  </si>
  <si>
    <t>The Council discussed allowing a landlord to show a model or similar unit to a prospective tenant if the unit to be leased is not vacant under specified circumstances; to repeal the authority of a tenant to terminate a lease without penalty if certain violations are not abated within a certain time; to allow a lease to provide that a tenant will pay specified costs under specified circumstances; to alter the lease payment grace period; to allow for the collection of specified charges; to repeal the prohibition against a lease stating that it is a contract under seal; making a technical correction; and generally relating to landlord-tenant relations.</t>
  </si>
  <si>
    <t>Howard County has allocated of $800,000 in county funding for rental assistance and eviction relief. Of the total amount, $300,000 will come from the Disaster Relief and Recovery Initiative in the proposed operating budget, also requiring County Council approval. The other $500,000 will come from Moderate Income Housing Unit fee-in-lieu revenue sources.</t>
  </si>
  <si>
    <t>Howard County Announces Rental Relief, Food Assistance to Help Residents During Coronavirus Pandemic</t>
  </si>
  <si>
    <t xml:space="preserve">Montgomery County </t>
  </si>
  <si>
    <t xml:space="preserve">The City Council approved a special appropriation of $2 million to support to end and prevent homelessness. Emergency eviction prevention and housing stabilization programs are also included. Funds are expected to be allocated to provide a short-term rental subsidy program to low- and moderate-income households in response to the current coronavirus pandemic. The council will seek federal and state reimbursement for COVID-19 program costs. </t>
  </si>
  <si>
    <t>COUNCIL APPROVES FUNDING FOR COVID-19 RENTAL ASSISTANCE AND HOUSING STABILIZATION</t>
  </si>
  <si>
    <t>Prince George</t>
  </si>
  <si>
    <t>The Council heard an ordinance for the purpose of amending the Landlord-Tenant Code to prohibit rent increases, rental terminations, or lockouts; and prohibit late fees or penalties from being charged during the COVID-19 state-wide emergency.</t>
  </si>
  <si>
    <t>Rockville</t>
  </si>
  <si>
    <t>Governor Larry Hogan issued an emergency order that stops Maryland courts from ordering the eviction of any tenant who can show that their failure to pay rent is related to the COVID-19 outbreak. The order also prohibits utility or internet shutoff or late fees. The order is in place until the state of emergency is over.</t>
  </si>
  <si>
    <t>Massachusetts</t>
  </si>
  <si>
    <t>Boston</t>
  </si>
  <si>
    <t xml:space="preserve">Mayor Marty Walsh instituted a ban on all construction except in emergency situations counter to Governor Charlie Baker's decree that all construction should be able to continue in the state. Initial ban was for 14-days but now will be in effect "until further notice". </t>
  </si>
  <si>
    <r>
      <t>The</t>
    </r>
    <r>
      <rPr>
        <b/>
        <sz val="11"/>
        <rFont val="Calibri"/>
        <family val="2"/>
      </rPr>
      <t xml:space="preserve"> Boston Housing Authority</t>
    </r>
    <r>
      <rPr>
        <sz val="11"/>
        <rFont val="Calibri"/>
        <family val="2"/>
      </rPr>
      <t xml:space="preserve"> notified the state Housing Court Thursday that it will not pursue “non-essential eviction actions” for as long as Governor Charlie Baker’s declared state of emergency lasts. Non-essential cases are defined as “non-payment and cause cases that do not involve or include allegations of criminal activity or lease violations that impact the health or safety of BHA residents and employees and/or the general public,” </t>
    </r>
  </si>
  <si>
    <r>
      <rPr>
        <b/>
        <sz val="11"/>
        <rFont val="Calibri"/>
        <family val="2"/>
      </rPr>
      <t>(Note: is not a citywide moratorium)</t>
    </r>
    <r>
      <rPr>
        <sz val="11"/>
        <rFont val="Calibri"/>
        <family val="2"/>
      </rPr>
      <t>Boston Mayor Marty Walsh announced a partnership with private owners and managers to impose a moratorium on evictions while Massachusetts is under the COVID-19 emergency declaration. The partnership included the Massachusetts Association of Community Development Corporations (MACDC), the Greater Boston Real Estate Board (GBREB) and its entity the Massachusetts Apartment Association. Currently, the following have agreed to the moratorium: Trinity Financial, Winn Residential, The Community Builders, Preservation of Affordable Housing (POAH). In effect for 90 days with reviews every 30 days.</t>
    </r>
  </si>
  <si>
    <t xml:space="preserve">The City has implemented screening protocols for shelter guests and created facilities for the testing, isolation and quarantine of individuals exposed, suspected or diagnosed with COVID-19. The City has secured an additional 250 beds for the purpose of increasing social distancing, isolation, and quarantining. Street outreach teams are equipped with disinfectant and are escorting individuals in need of care to medical sites. </t>
  </si>
  <si>
    <t>Mayor Martin J. Walsh announced that his Administration is dedicating $3 million in city funds to assist Bostonians who are at risk of losing their rental housing due to the worldwide COVID-19 pandemic. The newly established fund, which is being managed by the Office of Housing Stability at the Department of Neighborhood Development with two nonprofit partners, Metro Housing|Boston and Neighborhood of Affordable Housing (NOAH), will provide income-eligible Bostonians with up to $4,000 in financial assistance to be used for rent.</t>
  </si>
  <si>
    <t xml:space="preserve">Mayor Walsh announced that the Boston Housing Authority and Boston Public Schools are partnering to house up to 1,000 families experiencing homelessness through the Tenant-Based Housing Choice Voucher Program. The Boston Housing Authority will use Housing Choice Vouchers to house up to 500 families living in shelters through the State's Leading the Way Home program. The other 500 vouchers will be provided to families who are in precarious situations that lack necessary stability. These families will be served through a direct partnership between the BHA and BPS, in an effort to reach out to the unsheltered homeless population with children enrolled in BPS. </t>
  </si>
  <si>
    <t>SUBSIDIZED HOUSING TO BE CREATED FOR 1,000 BOSTON PUBLIC SCHOOLS FAMILIES AT RISK OF DISPLACEMENT</t>
  </si>
  <si>
    <t xml:space="preserve">Supportive services agencies across the city have been conducting wellness checks by phone. The frequency of the calls is determined by the needs of the clients. Most clients need more frequent engagement than prior to the COVID-19 public health emergency. Much of the stabilization that is being offered by phone is the same as when the clients were able to meet with their case managers in person. However, new challenges such as access to food and medication, preparing for potential isolation, and access to medical care, are also being addressed. Because of these issues, the City team is looking into the possibility of moving resources within existing federal funding to focus more on food delivery and medication. </t>
  </si>
  <si>
    <t>Cambridge</t>
  </si>
  <si>
    <t>The Council discussed a resolution on a Moratorium on rent payments, mortgage payments, evictions and foreclosures.</t>
  </si>
  <si>
    <t>Mayor Sumbul Siddiqui and City Manager Louis A. DePasquale activated the $3.3 million Mayor's Disaster Relief Fund on March 19, 2020 to provide emergency assistance to individuals and families in Cambridge who are experiencing financial hardship due to the virus outbreak. Funds will be allocated for rent and/or utility payments and other household needs.</t>
  </si>
  <si>
    <t>MAYOR'S DISASTER RELIEF FUND APPLICATION INFORMATION</t>
  </si>
  <si>
    <t>Lawrence</t>
  </si>
  <si>
    <t>The City Council considered an Ordinance calling for Eviction Moratorium for all Lawrence Residents due to Coronavirus (COVID-19).</t>
  </si>
  <si>
    <t>Newton</t>
  </si>
  <si>
    <t xml:space="preserve">The City Council referred to the Zoning &amp; Planning Committee the following: a resolution requesting the Community Preservation Committee and Planning Department to develop a rental assistance program for Newton citizens unable to pay rent during the COVID-19 emergency using Community Preservation funds of other funding programs under city control, using guidelines developed by the Massachusetts Housing Partnership and/or other appropriate guidelines. </t>
  </si>
  <si>
    <t>The Newton City Council approved putting $2 million in Community Preservation Act (CPA) money into the city’s COVID-19 Emergency Rental &amp; Mortgage Assistance Program to help those in need. The account will have $2.5 million total – the $2 million in just-approved CPA funds and an additional $500,000 in Community Development Block Grants (CDBG). The program will cover 70 percent of a household’s monthly rent, with a maximum monthly assistance amount of $2,500 per household (or $7,500 per household) for up to three months.</t>
  </si>
  <si>
    <t>Newton rental/mortgage assistance fund now totals $2.5M</t>
  </si>
  <si>
    <t>Somerville</t>
  </si>
  <si>
    <t xml:space="preserve">Mayor Joseph A. Curtatone and the Somerville Board of Health announced an Emergency Order Establishing a Moratorium on Eviction Enforcement in the City of Somerville for the duration of the COVID-19 emergency. The Somerville Eviction Moratorium does not prevent owners from filing eviction cases or getting what is known as “executions for possession” from the courts. It prohibits "levying," which is the physical removal of persons and belongings. This is the one area of the process where municipalities have an opportunity to intervene in order to protect the health and safety of the tenants as well as the community overall. The order does not protect tenants from eviction once the Board of Health determines that the public health emergency no longer exists. </t>
  </si>
  <si>
    <t>The Council discussed the need for Rent Control in light of the global COVID-19 pandemic, as illustrated by dramatic rent increases displacing residents.</t>
  </si>
  <si>
    <t>The Massachusetts Supreme Judicial Court has ruled that pre-trial detainees not charged with certain violent offenses and those held on technical probation and parole violations are eligible for hearings to determine if they can be released. The ruling does not affect those who have been sentenced.</t>
  </si>
  <si>
    <t xml:space="preserve">Pretrial Services shall review each individual pretrial case where the individual is detained awaiting trial and work with public health officials, the Committee for Public Counsel Services, the relevant District Attorney’s Office, the relevant court, Sheriffs, and the Public Health system to immediately decarcerate within 14 days any individual who poses no immediate physical threat to the community, including all individuals charged with the simple possession of controlled substances. </t>
  </si>
  <si>
    <t>The Massachusetts Housing Court placed a hold on all non-emergency eviction cases until April 21, 2020. However, a party may seek to advance its case, upon filing a motion with the court and by making a showing of good cause. The Housing Court also encourages parties to settle cases by out-of-court agreements. / Department of Public Utilities (DPU) issued a moratorium on the shutting off of residential utilities while the COVID-19 state of emergency remains declare</t>
  </si>
  <si>
    <t xml:space="preserve">HD 4935: An act providing for a moratorium on evictions and foreclosures during the COVID 19 Emergency. The stay would be in effect for the next 4 months or until 45 days after the emergency declaration is rescinded. Violation of this law is punishable by fine of $5,000 or 6 months imprisonment. </t>
  </si>
  <si>
    <t>Under HB 4634, the department of revenue shall deliver to all registrants age 16 and above that have faced financial hardship due to COVID-19 an “Equity and Justice for All payment.” The amount varies based on income level and will include an additional payment for each dependent.</t>
  </si>
  <si>
    <t>The Baker-Polito Administration today announced that a former Boston Medical Center hospital building will be temporarily reopened and used to meet COVID-19 related medical needs of area homeless residents. The facility will be used for treatment of homeless patients who have confirmed mild symptoms but do not require hospitalization, are symptomatic and awaiting test results, have been discharged from a hospital but do not have a home to return to, and acute care for patients.</t>
  </si>
  <si>
    <t>SB 2656: The department of housing and community development shall establish a grant program, subject to appropriation, to provide funding for the operation of temporary shelters for homeless individuals established in Gateway Cities during the COVID-19 state of emergency.</t>
  </si>
  <si>
    <t>HB 4672: There shall be a task force to study and make policy recommendations to the general court that address current disparities in the health care system for underserved or underrepresented cultural, racial, ethnic and linguistic populations and people with disabilities in the commonwealth during the COVID-19 pandemic.</t>
  </si>
  <si>
    <t>Williamstown</t>
  </si>
  <si>
    <t>The board of the Williamstown Affordable Housing Trust will partner with Pittsfield's Berkshire Housing Development Corp. on an emergency rental assistance program in response to the COVID-19 pandemic. Residents of rental properties in Williamstown who make 100 percent or below the area median income and have "suffered financial setbacks due to the COVID-19 pandemic" will be eligible for grants would ranging from $500 to $1,000.</t>
  </si>
  <si>
    <t>Williamstown Housing Trust to Partner with Berkshire Housing on Rental Assistance Program</t>
  </si>
  <si>
    <t xml:space="preserve">Worcester City </t>
  </si>
  <si>
    <t>The Council adopted a resolution supporting and endorsing House Bill No. 4935, An Act Providing for a Moratorium on Evictions and Foreclosures during the COVID-19 Emergency.</t>
  </si>
  <si>
    <t>Michigan</t>
  </si>
  <si>
    <t xml:space="preserve">Ann Arbor City </t>
  </si>
  <si>
    <t xml:space="preserve">The Council heard a Resolution to Protect Ann Arbor Residents from Eviction as a Result of COVID 19 Pandemic and Appropriate $200,000 from the city's general fund for Housing Assistance to the Ann Arbor Housing Commission. This will be used for a one-time rental payment. </t>
  </si>
  <si>
    <t>Ann Arbor funds back-payed rent of 112 housing commission tenants amid COVID-19 concerns</t>
  </si>
  <si>
    <t>Detroit</t>
  </si>
  <si>
    <t xml:space="preserve">Several judges in the Detroit metro area are deciding whether or not to release individuals from custody. The Wayne County jail has released 243 people with nonviolent offenses since March 10th. </t>
  </si>
  <si>
    <t>Governor Gretchen Whitmer issued an executive order on March 20 temporarily halting evictions for nonpayment of rent through April 17. The order allows tenants and mobile home owners to remain in their homes and allows courts to delay eviction-related proceedings.</t>
  </si>
  <si>
    <t>Governor Whitmer Signs Executive Order Protecting Jail, Juvenile Detention Center Populations</t>
  </si>
  <si>
    <t>Governor Gretchen Whitmer signed Executive Order No. 2020-55 creating the Michigan Coronavirus Task Force on Racial Disparities.  The task force will investigate the causes of racial disparities in the impact of COVID-19, recommend actions to address those disparities, and suggest ways to:
-Increase transparency in reporting data regarding the racial and ethnic impact of COVID-19. 
-Remove barriers to accessing physical and mental health care. 
-Reduce the impact of medical bias in testing and treatment. 
-Mitigate environmental and infrastructure factors contributing to increased exposure during pandemics resulting in mortality. 
-Develop and improve systems for supporting long-term economic recovery and physical and mental health care following a pandemic.</t>
  </si>
  <si>
    <t>Governor Whitmer Signs Executive Order Creating the Michigan Coronavirus Task Force on Racial Disparities</t>
  </si>
  <si>
    <t>Minnesota</t>
  </si>
  <si>
    <t>Edina</t>
  </si>
  <si>
    <t>The City Council approved an ordinance Imposing a Moratorium on Residential Evictions for Non-payment of Rent During the COVID-19 Emergency and approved additional funding for VEAP in response to COVID-19.</t>
  </si>
  <si>
    <t>Hennepin County</t>
  </si>
  <si>
    <t>The Hennepin County Board has approved $3 million to quarantine at-risk homeless, and officials have begun moving older homeless residents from shelters to hotels regardless of whether they're sick.</t>
  </si>
  <si>
    <t>Minneapolis</t>
  </si>
  <si>
    <t xml:space="preserve">Minneapolis Mayor Jacob Frey unveiled a plan to give $5 million in assistance to tenants and small businesses struggling with the financial fallout of the coronavirus pandemic. The plan sets aside roughly $3 million for rental assistance. The mayor said he hopes the programs — collectively called the Gap Funding Plan — will help cover needs that aren’t met by state and federal aid. The city will not consider immigration status in determining individuals’ eligibility for help. The city’s emergency assistance program will offer payments up to $1,500 for rent and utilities. To pay for that, the city is using money from the Affordable Housing Trust Fund, as well as money that was freed up when the city got additional federal grant money. The city is also dedicating $1 million within the existing Stable Homes, Stable Schools housing stability fund to help families struggling with homelessness or housing instability during the pandemic. In most cases, payments would be limited to $1,500 per household. </t>
  </si>
  <si>
    <t>$5 million relief plan in Minneapolis would aid renters, homeless, small businesses</t>
  </si>
  <si>
    <t>Northfield</t>
  </si>
  <si>
    <t>Northfield Housing and Redevelopment Authority committed to setting aside up to $53,600 assistance to help with rent payments.</t>
  </si>
  <si>
    <t>Funds to help tenants impacted by COVID-19 pay rent gets HRA's OK</t>
  </si>
  <si>
    <t>Olmstead County</t>
  </si>
  <si>
    <t xml:space="preserve">Olmsted County is establishing a three-month rental assistance program for people who have lost their jobs or had hours slashed because of the pandemic. The participant pays 30 percent of their income in rent, and then the HRA will make up the difference. The county board approved a $3.5 million levy for affordable housing. </t>
  </si>
  <si>
    <t>County fast-tracks COVID-related rental assistance program</t>
  </si>
  <si>
    <t>Richfield</t>
  </si>
  <si>
    <t>The Richfield Housing and Redevelopment Authority showed its unanimous support for city renters at risk of housing instability during the COVID-19 pandemic. The HRA authorized $30,000 in emergency rental assistance for Richfield renters to be administered by Volunteers Enlisted in Assisting People, known as VEAP.</t>
  </si>
  <si>
    <t>Richfield HRA authorizes $30k in rental assistance</t>
  </si>
  <si>
    <t>Governor Tim Waltz issues Stay at Home order halting all non-essential work. Essential work includes public works construction as well as:  Housing, shelter, and homelessness-prevention staff of state and local agencies and organizations responsible for ensuring safe and stable housing, including workers from state and local agencies and organizations with responsibility for ensuring safe and stable housing;shelter outreach or drop-in center programs; financing affordable housing; and administering rent subsidies, homeless interventions, operating supports, and similar supports.  This includes workers necessary to provide repairs, maintenance, and operations support to residential dwellings.</t>
  </si>
  <si>
    <t>Gov. Tim Walzan executive order banning eviction proceedings during the coronavirus pandemic. The executive order would only allow evictions in cases where a tenant seriously endangers the safety of other residents or violates other laws like bringing in controlled substances or using or possessing firearms unlawfully. The order also stops the execution of writs of recovery where sheriff’s deputies order tenants to move out of their apartments or be forcibly removed. Nothing in this Executive Order relieves a tenant’s obligation to pay rent. This Executive Order does not apply to properties on federal tribal trust land.</t>
  </si>
  <si>
    <t>SF 4495: Prohibits the filing of evictions and termination of leases except where the tenent seriously endangers the safety of others. Also, no request for notice of a mortgage foreclosure by advertisement may be recorded.</t>
  </si>
  <si>
    <t xml:space="preserve">SF 4451 and HF 4531 passed and was signed into law by Gov Walz. The bill appropriates $9 million to support regional food banks to enable specialized responses to the community needs, allow food banks to purchase food, diapers and toilet paper, pay for transportation to distribute materials </t>
  </si>
  <si>
    <t>SF 4451 and HF 4531 passed and was signed into law by Gov Walz. The bill appropriates $5.53 million from the general fund to increase room and board limits and rates and supplementary service limits for three consecutive months.</t>
  </si>
  <si>
    <r>
      <t xml:space="preserve">State Representative Michael Howard (DFL - Richfield) announced legislation to place a statewide moratorium on evictions as well as </t>
    </r>
    <r>
      <rPr>
        <b/>
        <sz val="11"/>
        <rFont val="Calibri"/>
        <family val="2"/>
      </rPr>
      <t>provide emergency housing assistance</t>
    </r>
    <r>
      <rPr>
        <sz val="11"/>
        <rFont val="Calibri"/>
        <family val="2"/>
      </rPr>
      <t xml:space="preserve"> to thousands of Minnesotans who may face housing instability as a result of the COVID-19 epidemic. Minneosta lawmakers are considering $100 million in state funding for a rental assistance program.</t>
    </r>
  </si>
  <si>
    <r>
      <t xml:space="preserve">SF 4451 and HF 4531 passed and was signed into law by Gov Walz. The bill appropriates $26.54 million for emergency services grants. 
</t>
    </r>
    <r>
      <rPr>
        <b/>
        <sz val="11"/>
        <rFont val="Calibri"/>
        <family val="2"/>
      </rPr>
      <t xml:space="preserve">$15,206,000 is for additional Shelter Space </t>
    </r>
    <r>
      <rPr>
        <sz val="11"/>
        <rFont val="Calibri"/>
        <family val="2"/>
      </rPr>
      <t xml:space="preserve">- For purchasing vouchers for the cost of a motel or hotel room; or for funding other housing options, in order to provide housing that promotes health and safety, or to isolate homeless individuals exposed to COVID-19 or who are experiencing respiratory illness. Vouchers for the cost of a motel or hotel room may not be issued to motels or hotels that receive funding from another source for the cost of the same motel or hotel room;
</t>
    </r>
    <r>
      <rPr>
        <b/>
        <sz val="11"/>
        <rFont val="Calibri"/>
        <family val="2"/>
      </rPr>
      <t xml:space="preserve">$6,331,000 is for Hiring staff </t>
    </r>
    <r>
      <rPr>
        <sz val="11"/>
        <rFont val="Calibri"/>
        <family val="2"/>
      </rPr>
      <t xml:space="preserve">- For hiring staff necessary to protect the health and wellness of program recipients, for increasing the number of persons served, or for providing staffing when workers are quarantined or cannot work because they are caring for someone with COVID-19.
</t>
    </r>
    <r>
      <rPr>
        <b/>
        <sz val="11"/>
        <rFont val="Calibri"/>
        <family val="2"/>
      </rPr>
      <t xml:space="preserve">$5,000,000 is for Hygiene/Sanitation Supplies </t>
    </r>
    <r>
      <rPr>
        <sz val="11"/>
        <rFont val="Calibri"/>
        <family val="2"/>
      </rPr>
      <t xml:space="preserve">- For purchasing hygiene, sanitation, and cleaning supplies to support compliance with Centers for Disease Control and Prevention guidance on sanitation and personal protective equipment. 
</t>
    </r>
  </si>
  <si>
    <t>Tribal Nations</t>
  </si>
  <si>
    <t>SF 4451 and HF 4531 passed and was signed into law by Gov Walz.  The bill appropriates $11 million (grants for up to $1 million for 11 tribal nations). Each tribal nation must use the grant received under paragraph (a) for activities that mitigate the immediate health and economic impacts of COVID-19. These activities include but are not limited to (1) reimbursable activities under the Robert T. Stafford Disaster Relief and Emergency Assistance Act, as amended, and (2) securing basic needs, including but not limited to food and shelter, for tribal members. A tribe must apply by April 1 2020</t>
  </si>
  <si>
    <t>Mississippi</t>
  </si>
  <si>
    <t>Missouri</t>
  </si>
  <si>
    <t xml:space="preserve">Columbia City </t>
  </si>
  <si>
    <t>Columbia City will provide $220,000 toward housing assistance that will be provided through the Columbia Housing Authority. Funding comes from federal Community Development Block Grant and HOME funds.</t>
  </si>
  <si>
    <t>Small business loans, housing assistance win Columbia City Council approval</t>
  </si>
  <si>
    <t>Kansas City</t>
  </si>
  <si>
    <t xml:space="preserve">The City Council held a first reading of a resolution Directing the City Manager to work with the Downtown Community Improvement District and the River Market Community Improvement District to provide for the placement and maintenance of portable restroom facilities to address the sanitation issues with the homeless population during the COVID-19 crisis. The Council also held a first reading of a resolution Appropriating $80,000.00 from the Health Fund to the Shelter for Homeless Account; authorizing the Director of Neighborhood and Housing Services to execute a lease agreement with Satyam Corporation for rooms to house homeless individuals with COVID-19 symptoms; and recognizing this ordinance as having an accelerated effective date. </t>
  </si>
  <si>
    <t>Missouri expects to receive approximately $9.4 million to be used to help unsheltered homeless, sheltered homeless, or those at risk of homelessness. They can also be used for eviction prevention assistance, including rapid rehousing, housing counseling, and rental deposit assistance.</t>
  </si>
  <si>
    <t>Missouri governor highlights COVID-19 housing assistance</t>
  </si>
  <si>
    <t>Montana</t>
  </si>
  <si>
    <t>Havre</t>
  </si>
  <si>
    <t>Qualified residents in Hill, Blaine, Liberty, Roosevelt, Phillips, Daniels, Sheridan and Valley Counties can receive rental assistance of up to three months’ rent paid directly to landlords to prevent homelessness through the Emergency Solutions Grant with funding from the CARES Act.</t>
  </si>
  <si>
    <t>HRDC has COVID-19 rental assistance available</t>
  </si>
  <si>
    <t xml:space="preserve">Missoula </t>
  </si>
  <si>
    <t>Missoula Housing Authority is providing some rental assistance to those laid off due to COVID -19. Residents living in affordable housing properties should contact their property manager who will work to come up with a delayed payment system to void late fees. Subsidized housing recipients will also be able to refinance their payments based on how much they were able to work. Additionally, all evictions are being suspended at this time.</t>
  </si>
  <si>
    <r>
      <t xml:space="preserve">Governor Steve Bullock Implements EO 2-2020 and 3-2020 requiring the suspension of all non-essential businesses and services. Essential infrastructure and construction work includes: </t>
    </r>
    <r>
      <rPr>
        <b/>
        <sz val="11"/>
        <rFont val="Calibri"/>
        <family val="2"/>
      </rPr>
      <t xml:space="preserve"> h. Critical trades</t>
    </r>
    <r>
      <rPr>
        <sz val="11"/>
        <rFont val="Calibri"/>
        <family val="2"/>
      </rPr>
      <t>. Building and Construction Tradesmen and Tradeswomen, and other trades including but not limited to plumbers, electricians, exterminators, cleaning and janitorial staff for commercial and governmental properties, security staff, operating engineers, HVAC, painting, moving and relocation services, and other service providers who provide services that are necessary to maintaining the safety, sanitation, and essential operation of residences, Essential Activities, and Essential Businesses and Operations;</t>
    </r>
  </si>
  <si>
    <t>Gov. Steve Bullock said he has issued a directive prohibiting landlords from evicting tenants during the current stay-at-home order. Bullock said the directive also prohibits landlords from charging late fees for non-payment and prohibits foreclosure of residential property during the order.Utilities are prohibited from suspending services or charging late fees during the order.</t>
  </si>
  <si>
    <t>Gov. Steve Bullock created a program to provide rental assistance to households experiencing substantial financial hardship due to COVID-19.the program will also include relief funds designated specifically for households with children eligible for the Temporary Assistance for Needy Families (TANF) program. 
Governor Bullock has dedicated $50 million of the Coronavirus Relief Fund for financial assistance to renters and homeowners with mortgages. The Emergency Housing Assistance program will provide rent, security deposit, mortgage payment, and/ or hazard insurance assistance as-needed for Montanans who have lost a job or substantial income loss as a result of COVID-19. Initial payments may include up to three months assistance where the eligible household can demonstrate arrears for April and May, with continual inability to make their June payment. Montana Housing will pay the difference between 30 percent of the household’s current gross monthly income and their eligible housing assistance costs, up to $2,000 a month. Household income limits range from $75,000-$125,000 based on family size.</t>
  </si>
  <si>
    <t>Supreme Court Chief Justice Mike McGrath sent a note to state courts, requesting a review of jail rosters and the release of as many people as possible in consideration of public safety.</t>
  </si>
  <si>
    <t>Letter to COLJ Judges re COVID-19 032020</t>
  </si>
  <si>
    <t xml:space="preserve">Deadline to submit letter of intent currently set for April 13th, state is considering pushing the deadline to a later date in April. </t>
  </si>
  <si>
    <t>Whitefish</t>
  </si>
  <si>
    <t>The Whitefish Chamber of Commerce, the Whitefish Housing Authority and the Whitefish Community Foundation have teamed up to create an emergency fund to provide one-time partial rent relief of $300 to Whitefish area renters the Whitefish Housing Authority Rental Assistance Fund.</t>
  </si>
  <si>
    <t>Whitefish Housing Authority establishes Emergency Rental Assistance Fund</t>
  </si>
  <si>
    <t>Nebraska</t>
  </si>
  <si>
    <t>By order of Governor Pete Ricketts, no evictions through 5/31.</t>
  </si>
  <si>
    <t>Nevada</t>
  </si>
  <si>
    <t>Nevada Attorney General Aaron D. Ford announced $2 million in settlement funding for emergency rental assistance transferred to United Way of Southern Nevada and United Way of Northern Nevada and the Sierra. This funding will go directly to Nevada families in need of emergency assistance. The funding is part of the previously announced settlement agreement with Wells Fargo.</t>
  </si>
  <si>
    <t>New Hampshire</t>
  </si>
  <si>
    <t>New Hampshire Governor Chris Sununu issued an executive order saying that landlords will not be allowed to start eviction proceedings for any tenant unable to pay due to the impact of the coronavirus and that foreclosures will also be frozen.</t>
  </si>
  <si>
    <t>New Jersey</t>
  </si>
  <si>
    <t>Jersey City</t>
  </si>
  <si>
    <t xml:space="preserve">The Council heard an Ordinance of the City of Jersey City Amending Chapter 260 (Rent Control) (1) Imposing a Rent Freeze on All Units Subject To Rent Control During the Current Public Health Emergency Declared By The Governor Of New Jersey And (2) Prohibiting Any Collection Of A Penalty for a Late Payment of Rent As A Result Of The Current Public Health. Emergency Declared by The Governor </t>
  </si>
  <si>
    <t>Newark</t>
  </si>
  <si>
    <t>The city of Newark created a $1 million Emergency Housing Assistance Fund to provide low-income residents up to $1,000 each to help pay rent or utilities. It’s a one-time assistance program unless the city can get more funds from the federal government.</t>
  </si>
  <si>
    <t>Newark giving low-income residents struggling due to coronavirus up to $1K to pay rent</t>
  </si>
  <si>
    <t>Perth Amboy</t>
  </si>
  <si>
    <t>The City of Perth Amboy approved the reallocation of U.S. Department of Housing &amp; Urban Development HOME Funds, totaling more than $200,000 to assist eligible residents with rental support. The Puerto Rican Association for Human Development (PRAHD) will be administering the funds and are now accepting rental assistance applications.</t>
  </si>
  <si>
    <t>City of Perth Amboy Approves Reallocation of $200,000 in Home Funds to Eligible Residents</t>
  </si>
  <si>
    <t>Murphy issued Executive Order No. 106, which states that any lessee, tenant, homeowner or any other person shall not be removed from a residential property as the result of an eviction or foreclosure proceeding. Your landlord cannot remove you from your home during this emergency. Additionally, several major national financial institutions - including Citigroup, JPMorgan Chase, U.S. Bank, Wells Fargo, and Bank of America - are committing to not initiate foreclosure sales or eviction proceedings for at least 60 days.</t>
  </si>
  <si>
    <t>SB 2332: Establishes "2020 New Jersey Emergency Rental Assistance Program"; appropriates $100 million. The program will provide rental assistance to low- and moderate-income households that have had a substantial reduction in income as a result of the pandemic, including those who are homeless or at risk of homelessness. The program would first be paid for with unspent grant money from Hurricane Sandy relief programs. Federal dollars from the coronavirus relief bill would be utilized beyond that, with the remaining amount coming from the state’s general fund.</t>
  </si>
  <si>
    <t>N.J. Legislators Pass $100 Million COVID-19 Rent Relief Bill</t>
  </si>
  <si>
    <t>New Jersey Chief Justice Stuart Rabner signed an order for the release of inmates serving time in county jail as a condition of probation or as a result of municipal court convictions. Also,  any inmate serving county jail sentences for violations of probation, low-level indictable crimes and disorderly persons and petty disorderly persons offenses, will be released.</t>
  </si>
  <si>
    <t xml:space="preserve">The bill requires that individuals who are released from incarceration have a personal ID card and that their information is forwarded to state social service agencies 45 days prior to release. </t>
  </si>
  <si>
    <t>SB 2357: Requires hospitals to report COVID-19 demographic data.</t>
  </si>
  <si>
    <t>North Carolina</t>
  </si>
  <si>
    <t>The North Carolina Task Force for Racial Equity in Criminal Justice would develop and provide evidence-based strategies and policy solutions to address the systemic racism within the state's criminal justice sytem while maintaining public safety.</t>
  </si>
  <si>
    <t>Gov. Cooper creates racial equity task force assigned to eliminate racism in criminal justice system</t>
  </si>
  <si>
    <t>New Mexico</t>
  </si>
  <si>
    <t>Albuquerque</t>
  </si>
  <si>
    <r>
      <rPr>
        <b/>
        <sz val="11"/>
        <rFont val="Calibri"/>
        <family val="2"/>
      </rPr>
      <t xml:space="preserve">(Note: is not a citywide moratorium) </t>
    </r>
    <r>
      <rPr>
        <sz val="11"/>
        <rFont val="Calibri"/>
        <family val="2"/>
      </rPr>
      <t>The City of Albuquerque has stopped evictions on all public housing/ city owned affordable housing for nonpayment. Judges hearing eviction cases can grant continuances.</t>
    </r>
  </si>
  <si>
    <t>The City Council passed a resolution adjusting the FY2020 general fund appropriations to establish a Coronavirus community support and recovery fund.</t>
  </si>
  <si>
    <t>Santa Fe</t>
  </si>
  <si>
    <t>Mayor Alan Webber announced an emergency proclamation that indefinitely freezes evictions during the COVID-19 crisis. It also puts a moratorium on water shut-offs, delays lodger’s tax collection, and makes all public buses free, effective immediately.</t>
  </si>
  <si>
    <t>The New Mexico Housing Trust Fund (NMHTF) provides flexible funding for affordable housing initiatives in the state. A portion of NMHTF funds has now been extended to provide short-term rental assistance to tenants of income-restricted properties monitored by the New Mexico Mortgage Finance Authority, who are experiencing financial hardship as a result of the COVID-19 pandemic. Eligible tenant's incomes cannot exceed 80 percent of AMI. Rental assistance may be provided to tenants who (1) are not currently receiving full rental assistance from another program, and (2) must be experiencing a reduction in household income due to circumstances related to the health crisis. Tenants residing in any unit in an income-restricted property monitored by MFA are eligible for rental assistance, regardless of whether the unit is income-restricted if the tenant meets the above requirements.</t>
  </si>
  <si>
    <t xml:space="preserve">New Mexico Housing Trust Fund Rental Assistance
Notice of Funding Availability (NOFA) and Application </t>
  </si>
  <si>
    <t>Governor Lujan Grisham issued an executive order that directed the Department of Corrections to compile a list of individuals in custody that have a sentence of less than thirty days and is not serving a sentence for a number of disqualifying crimes. The order then grants a commutation to these individuals and instructs the DOC to release them from custody.</t>
  </si>
  <si>
    <t>Executive Order 2020-021</t>
  </si>
  <si>
    <t xml:space="preserve">New York </t>
  </si>
  <si>
    <t xml:space="preserve">New York City </t>
  </si>
  <si>
    <t xml:space="preserve">The City has created the GetFoodNYC Food Delivery Program to provide food for coronavirus (COVID-19)-vulnerable and food-insecure New Yorkers not currently served through existing food delivery programs. We are asking TLC-licensed drivers to participate in this important work by assisting in delivering food to New Yorkers who must stay home. Drivers will receive $15 per hour, plus reimbursement for mileage and tolls.
</t>
  </si>
  <si>
    <r>
      <t>Mayor de Blasio called for a rent freeze f</t>
    </r>
    <r>
      <rPr>
        <b/>
        <sz val="11"/>
        <rFont val="Calibri"/>
        <family val="2"/>
      </rPr>
      <t>or tenants in rent-stabilized units</t>
    </r>
    <r>
      <rPr>
        <sz val="11"/>
        <rFont val="Calibri"/>
        <family val="2"/>
      </rPr>
      <t xml:space="preserve">. The City is working with the State to suspend the Rent Guidelines Board process for the upcoming year; which would maintain all regulated rents at current levels. </t>
    </r>
  </si>
  <si>
    <t xml:space="preserve">Through a combination of efforts by the Mayor’s Office of Criminal Justice and the District Attorneys, the City will have released at least 450 people by the end of today, March 27th. </t>
  </si>
  <si>
    <t>Since March 16, there was a 20% decrease in the jail population due to releases through measures such as lowered bail limits, release from pretrial detention, dropping parole violations and release to house arrest.</t>
  </si>
  <si>
    <t>AB 10318 establishes the Emergency Coronavirus Affordable Housing Preservation Act of 2020 which provides assistance to residential housing cooperatives losing maintenance and rental income as a result of  COVID-19.</t>
  </si>
  <si>
    <t>AB 10318 - Emergency Coronavirus Affordable Housing Preservation Act of 2020</t>
  </si>
  <si>
    <t>AB 10328  Automatically extends enrollment of individuals in the rent increase exemption program for low income elderly persons and persons with disabilities pursuant to section 467-b or 467-c of the real property tax law, the senior citizen homeowners' exemption program pursuant to section 467 of the real property tax law or the disabled homeowners' exemption program pursuant to section 459-c of the real property tax law until January 1, 2021 in response to novel coronavirus disease 2019 (COVID-19).</t>
  </si>
  <si>
    <t>Executive Order 202.6 requires all non-essential construction activity to be halted until further notice, unless the project is an emergency project or essential construction including affordable housing, and homeless shelters.At any construction site that remains open, contractors must implement strict social distance procedures, including for purposes of ongoing construction work, use of construction hoists, pre-shift safety meetings, and appropriate egress routes. Sites that cannot properly implement these critical distancing procedures and best safety practices will be ordered to close.  Any company violating this Executive Order can be fined up to $10,000 per violation.</t>
  </si>
  <si>
    <t>SB 8125 introduced by Sen D- Michael Gianaris Suspends all rent payments for certain residential tenants and small business commercial tenants if such tenant has lost employment or was forced to close their place of business and certain mortgage payments for landlords of such tenants in the state for ninety days following the effective date of this act in response to the outbreak of coronavirus disease 2019 (COVID-19).</t>
  </si>
  <si>
    <t>Rep Nydia Valazquez introduced legislation (HR 6374) to suspend requirements that tenants of assisted housing make contributions toward rent during the public health emergency relating to coronavirus (Introduced in the House).</t>
  </si>
  <si>
    <t>SB 8140 - Establishes a COVID-19 emergency rental assistance program; implements a program of rental assistance in the form of emergency vouchers for eligible individuals or families; defines terms.</t>
  </si>
  <si>
    <t xml:space="preserve">A10255 - Establishes a COVID-19 emergency small landlord assistance fund; provides that local housing authorities shall provide assistance to owners of a real property portfolio whose tenants have had their rent payments suspended for the costs associated with the operation and maintenance of such properties. </t>
  </si>
  <si>
    <t>SB 8192  Provides that no default in the payment of rent due or judgment of possession shall be entered between March 7, 2020 and a date six months after the expiration of the state disaster emergency.</t>
  </si>
  <si>
    <t xml:space="preserve">SB 7506  Enacts into law major components of legislation necessary to implement the state education, labor, housing and family assistance budget for the 2020-2021 state fiscal year, including several measures to respond to and mitigate the impact of the COVID-19 outbreak and to provide temporary relief to individuals. The housing trust fund corporation may provide, for purposes of the rural preservation program, a sum not to exceed $5,360,000 for the fiscal year ending March 31, 2021. </t>
  </si>
  <si>
    <t>Tompkins County</t>
  </si>
  <si>
    <t>The County Legislature considered a Resolution to Urge the New York Legislature to Suspend Rent Payments for Certain Tenants and Certain Mortgage Payments for Certain Landlords for Ninety Days in Response to the Outbreak of COVID-19 by Passing Senate Bill S8125A and Assembly Bill A10224A.</t>
  </si>
  <si>
    <t>S8125/A10224</t>
  </si>
  <si>
    <t xml:space="preserve">Charlotte </t>
  </si>
  <si>
    <t>City Council considered a resolution authorizing the City Manager to negotiate and approved an Agreement with the Foundation for the Carolinas in the amount of $1 million for the provision of housing assistance to persons whose incomes are impacted by the current COVID 19 health crisis.</t>
  </si>
  <si>
    <t>City of Charlotte Meeting Agenda</t>
  </si>
  <si>
    <t>Gaston County</t>
  </si>
  <si>
    <t>The Board of Supervisors approved the establishment of the Gaston County's Capital and Relief Expansion (CARE) Initiative and authorize budget appropriations in response to the COVID-19 pandemic.</t>
  </si>
  <si>
    <t>Greenville County</t>
  </si>
  <si>
    <t>The United Way of Greenville County has partnered with the city of Greenville, Greenville County Redevelopment Authority, Greenville Housing Fund, SHARE and United Housing Connections to launch the Emergency Housing Assistance Fund. The organizations have collectively pledged more than $450,000 to support the fund. This fund will also receive $150,000 from the United Way of Greenville County’s COVID-19 Community Relief Fund and could potentially leverage another $7 million in federal housing funds for Greenville County.</t>
  </si>
  <si>
    <t>Emergency Housing Assistance Fund created to provide shelter to those in need due to COVID-19</t>
  </si>
  <si>
    <t>North Carolina will stop eviction and foreclosure hearings for the next 30 days as part of the court system’s latest effort to reduce courthouse traffic and slow the spread of the coronavirus.</t>
  </si>
  <si>
    <t xml:space="preserve">Wake County </t>
  </si>
  <si>
    <t>North Dakota</t>
  </si>
  <si>
    <t>The North Dakota COVID Emergency Rent Bridge program gives temporary assistance to renters economically impacted by COVID-19.</t>
  </si>
  <si>
    <t>COVID-19 Emergency Rent Bridge</t>
  </si>
  <si>
    <t>North Dakota paroles 56 prisoners early amid pandemic, including 3 convicted of sexual assault</t>
  </si>
  <si>
    <t xml:space="preserve">Northern Mariana Islands </t>
  </si>
  <si>
    <t>Ohio</t>
  </si>
  <si>
    <t>Butler County</t>
  </si>
  <si>
    <t>The Board of Commissioners considered the creation of Special Fund 1524, Community Development Block Grant (CDBG) Coronavirus Aid, Relief and Economic Security Act (CARES) grant, to receipt and account for grant dollars from the United States Department of Housing and Urban Development to prevent, prepare for, and respond to the coronavirus (COVID-19).</t>
  </si>
  <si>
    <t>Butler County Board of Commissioners - Regular Meeting</t>
  </si>
  <si>
    <t>Cleveland</t>
  </si>
  <si>
    <t>City Council approved legislation for a 60-day moratorium on evictions in Cleveland Housing Court for cases that were prompted by income lost as a result of the coronavirus outbreak. The moratorium will only apply to evictions that were prompted by the coronavirus outbreak. Cases already in the works would be allowed to proceed</t>
  </si>
  <si>
    <t>In Cleveland, a new rental assistance program will help tenants and landlords long-term. The $11 million program is funded by money the city received under the government’s CARES Act. The city is currently waiting for approval from the U.S. Department of Housing and Urban Development (HUD).</t>
  </si>
  <si>
    <t>New $11 million rental assistance program aims to help Cleveland tenants, landlords and economy</t>
  </si>
  <si>
    <t>Cuyahoga County</t>
  </si>
  <si>
    <t>Ten Cuyahoga County Common Pleas judges held hearings with prosecutors and defense attorneys working out plea deals with incarcerated inmates, charged with low-level, non-violent crimes.</t>
  </si>
  <si>
    <t>Dayton</t>
  </si>
  <si>
    <t xml:space="preserve">Dayton Clerk of Courts Mark Owens announced that the court will be suspending eviction cases until April 30th. The city is also suspending water shut offs until that date. </t>
  </si>
  <si>
    <t>Hamilton County</t>
  </si>
  <si>
    <t>Hancock County</t>
  </si>
  <si>
    <t>The County Commissioners considered a Resolution authorizing Emergency Shelter Gap Funding Program to aid in the ongoing COVID-19 crisis.</t>
  </si>
  <si>
    <t>Lucas County</t>
  </si>
  <si>
    <t>The Board will Enter into a Grant Agreement with the Ohio Office of Community Development to Accept Funds from the Community Development Block Grant (CDBG) Emergency Shelter Gap Funding Program to Support Emergency Shelter Providers during the COVID-19 State of Emergency and Enter into a Memorandum of Understanding (MOU) with the Toledo Lucas County Homelessness Board for Disbursement.</t>
  </si>
  <si>
    <r>
      <t xml:space="preserve">Governor implements stay at home order except for essential workers and businesses including but not limited to:   </t>
    </r>
    <r>
      <rPr>
        <b/>
        <sz val="11"/>
        <rFont val="Calibri"/>
        <family val="2"/>
      </rPr>
      <t>Essential  Infrastructure.</t>
    </r>
    <r>
      <rPr>
        <sz val="11"/>
        <rFont val="Calibri"/>
        <family val="2"/>
      </rPr>
      <t xml:space="preserve"> For purposes  of this,  individuals may  leave their residence to provide any  services  or  perform  any  work necessmy to  offer,  provision,  operate,  maintain  and  repair Essential  Infrastructure. Essential  Infrastructure  includes,  but  is  not  limited  to:  food  production,  distribution,  fulfillment centers,   storage  facilities,   marinas,   and   sale;   construction   (including,   but   not   limited   to, construction   required   in   response   to   this  public   health   emergency,   hospital   construction, construction  oflong-term  care facilities, public works construction,  school construction, essential business  construction, and housing  construction);</t>
    </r>
  </si>
  <si>
    <t>The Supreme Court of Ohio released guidance to local courts. The order contains a category for “Incarcerated Individuals” and recommends courts to use discretion in releasing individuals with a high-risk for being infected, as well as people incarcerated for nonviolent, misdemeanor offenses.</t>
  </si>
  <si>
    <t>GUIDANCE TO LOCAL COURTS
COVID-19 Public Health Emergency</t>
  </si>
  <si>
    <t>Governor DeWine sent a letter to judges to recommend the early release of 38 people from prison. The criteria for releases include people who are pregnant or are recently postpartum, and people who are vulnerable to COVID-19 and have less than 120 days remaining on their sentence.</t>
  </si>
  <si>
    <t>COVID-19 Update: Testing Supplies; PPE Sanitizing; Inmate Release Recommendation; Remote Learning Guide</t>
  </si>
  <si>
    <t>Toledo</t>
  </si>
  <si>
    <t>Mayor Wade Kapszukiewicz last week announced the city will set aside $2 million in emergency federal funding to assist about 700 qualifying households. The new emergency rental assistance fund will give households up to $2,500 during a consecutive three-month period, officials said.</t>
  </si>
  <si>
    <t>Toledo officials make $2 million available for emergency rental assistance</t>
  </si>
  <si>
    <t>Oklahoma</t>
  </si>
  <si>
    <t>Oklahoma County</t>
  </si>
  <si>
    <t>Oklahoma County Sheriff P.D. Taylor has suspended the enforcement of residential evictions due to the coronavirus pandemic. The action was after the district court suspended non-emergency court hearings. The Sheriff's Office says they will be monitoring the situation daily and will resume evictions when appropriate.</t>
  </si>
  <si>
    <t>Norman</t>
  </si>
  <si>
    <t xml:space="preserve">The Council heard a resolution encouraging landlords to cease evictions during the next 90 days, encouraging tenants who are past due on rent and landlords to work cooperatively, and encouraging the governor to enact a temporary moratorium on all evictions. </t>
  </si>
  <si>
    <t>Tulsa</t>
  </si>
  <si>
    <t>Tulsa County announced a two-week moratorium on evictions, also due to the coronavirus pandemic. (April 1)</t>
  </si>
  <si>
    <t>Tulsa Housing Authority waives rent payments through May 31st for residents of THA properties. Late fees for March are also waived. Housing Choice Voucher and Section 8 residents are still expected to pay rent as those properties aren't owned by THA.</t>
  </si>
  <si>
    <t>Tulsa Co.</t>
  </si>
  <si>
    <t>Tulsa County District Attorney Steve Kunzweiler said his office has been working to help keep the jail population down by evaluating who might be a good candidate for probation and helping coordinate speedy bond hearings.</t>
  </si>
  <si>
    <t>Oregon</t>
  </si>
  <si>
    <t>Beaverton</t>
  </si>
  <si>
    <t>On March 17, the City discussed a Declaration of a State of Emergency Imposing a Moratorium on Residential Evictions.</t>
  </si>
  <si>
    <t>Hillsboro</t>
  </si>
  <si>
    <t>The City Council will consider adopting a transfers of appropriations resolution authorizing $1.5 million in appropriations to Covid-19 Emergency Assistance funding.</t>
  </si>
  <si>
    <t>The City has provided emergency rental assistance funds to our trusted partner, Community Action. Community Action provides a range of support for renters from emergency payments to longer term assistance depending on funding availability and eligibility requirements. The City of Hillsboro has provided $50,000 in March and will provide another $50,000 in April to support the emergency payment assistance program for one-time payments for tenants facing eviction.</t>
  </si>
  <si>
    <t>Jackson</t>
  </si>
  <si>
    <t>The Housing Authority of Jackson County will receive $375,002 in federal COVID-19 aid to help keep people housed and safe during the pandemic. The money is part of $5.7 million in grants going out to housing authorities across Oregon through the CARES Act.</t>
  </si>
  <si>
    <t>COVID-19 relief will help shore up rent assistance programs</t>
  </si>
  <si>
    <t>Lane County</t>
  </si>
  <si>
    <t xml:space="preserve">The Board of Commissioners will consider Authorizing up to $5,000,000 in Emergency Funding to Respond to the Effects of COVID-19, and for Authorizing the County Administrator to Contract for Goods and Services for Expenditure of the Funds. </t>
  </si>
  <si>
    <t>Lane County’s Human Services Division will distribute $930,000 in rent assistance. The funding will be focused on stabilizing housing for people who are at risk of becoming unhoused, as well as finding housing solutions for people who are currently unhoused.</t>
  </si>
  <si>
    <t>Lane County’s plan to disburse $930K in rent assistance: Here’s what we know</t>
  </si>
  <si>
    <t>Milton-Freewater</t>
  </si>
  <si>
    <t>The Oregon Community Foundation gave the city of Milton-Freewater a $10,000 grant for emergency response to COVID-19. Households in Milton-Freewater can receive up to $250 for their utility bills.</t>
  </si>
  <si>
    <t>Utility bill grants are available for residents of Milton-Freewater</t>
  </si>
  <si>
    <t>Multnomah Co</t>
  </si>
  <si>
    <t>A temporary moratorium is imposed on all residential evictions in Multnomah County for tenants on the basis of nonpayment of rent due to wage loss resulting from COVID-19. Tenats must demonstrate substanial loss of income resulting from COVID 19 and must notify landlords on or before the day the rent is due. Tenats have six months after emergency orders are lifted to pay back-rent and may not be charged late fees. Court hearing on all evictions will be suspended until April 30.  The executive order also requires any place of lodging within the county to accept and/or retain housing for individuals whose payment is subsidized, subject to fines. These temporary measures shall remain in effect for the duration of the declaration of
emergency set forth in Executive Order No. 388.</t>
  </si>
  <si>
    <t>Portland City Council unanimously approved to dedicate more than $8 million to support renters impacted by the COVID-19 pandemic. According to the city officials, the funds are expected to provide at least three months of emergency rent assistance to about 2,000 households. The budget reallocates $4.5 million to existing federal funds for rent assistance, plus an additional $3.85 million in Community Development Block Grant (CDBG) revenue allocated to the city through the CARES act.</t>
  </si>
  <si>
    <t>City to dedicate $8.35M to Portland households impacted by COVID-19 pandemic</t>
  </si>
  <si>
    <t>Oregon lawmakers approved $12 million for rental assistance and safe shelter alternatives for individuals who have lost income due to COVID-19 and shelter for individuals at risk of infection or health problems due to inadequate shelter or housing.</t>
  </si>
  <si>
    <t>OREGON LAWMAKERS SET TO PUT $34 MILLION TOWARD COVID-19 ASSISTANCE IN THE STATE</t>
  </si>
  <si>
    <t>Oregon Housing and Community Services (OHCS) has created an $8.5 million Rent Relief Program to provide assistance to people who have experienced loss of income and are at risk of homelessness due to COVID-19.</t>
  </si>
  <si>
    <t>Oregon making $8.5 million available for rent assistance</t>
  </si>
  <si>
    <t>Union County</t>
  </si>
  <si>
    <t>Community Connection of Northeast Oregon Inc. received from the state  $162,250 to provide assistance to those who have been unable to pay rent due to a loss in income or job loss. The funding came as part of the Oregon Legislature’s $12 million to Oregon housing and community services, with $8.5 million to provide rent relief.</t>
  </si>
  <si>
    <t>Rental assistance available in Northeast Oregon</t>
  </si>
  <si>
    <t>Pennsylvania</t>
  </si>
  <si>
    <t>Allegheny County</t>
  </si>
  <si>
    <t>The district court administrator has stated that 701 inmates have been discharged from the county jail since March 16th.</t>
  </si>
  <si>
    <t>Allentown</t>
  </si>
  <si>
    <t>Allentown recently set aside $400,000 to help low-income residents, impacted by the COVID-19 pandemic, pay rent. While the funds were made available on Friday, May 1st, the response was so "overwhelming," the program was closed after one day. The rental assistance program was funded with money the City received as part of economic relief provided by the federal CARES Act.</t>
  </si>
  <si>
    <t>Allentown's COVID-19 Rental Assistance Program Closed After One Day Due to 'Overwhelming' Response</t>
  </si>
  <si>
    <t>Erie County</t>
  </si>
  <si>
    <t>The County Council will consider Ordinance Number 16, 2020 "Ninth 2020 General Fund Budget Supplemental Appropriation of $100,000 for Transfer to ECGRA COVID-19 Response Fund," which will coalesce with the $500,000 already approved by the ECGRA Board to provide relief to agencies who serve populations especially affected by the COVID 19 Disease, and to assist businesses and non-profits facing short term economic problems.</t>
  </si>
  <si>
    <t>Philadelphia</t>
  </si>
  <si>
    <t>City of Philadephia Mayor's Office issues Emergency Order No. 2 prohibiting non-essential businesses and gatherings. Essential businesses include Construction per "Governor's Order"</t>
  </si>
  <si>
    <t>Philadelphia’s municipal courts will not execute any current evictions for two weeks starting March 16, however the court will continue to hear new cases and operate as usual.
The Philadelphia Housing Authority suspended all evictions for 30 days, starting on Friday, March 13. The agency is postponing all court appointments for residents who are facing charges of failure to pay rent. The authority will also offer hardship waivers to residents who lost a job or suffered a pay cut because of the pandemic.</t>
  </si>
  <si>
    <t>Philadelphia Mayor Jim Kenney launched the COVID-19 Emergency Rental Assistance Program that will help about 3,000 Philadelphia renters and, in turn, help landlords. Enough funding is available to serve at least 3,000 eligible households for three consecutive months. Funding is now available through a Community Development Block Grant – or CDBG – provided under the federal CARES Act.</t>
  </si>
  <si>
    <t>Philly launches COVID-19 emergency rental assistance program</t>
  </si>
  <si>
    <t>Police Commissioner Danielle Outlaw notified commanders that police will be delaying arrests for nonviolent crimes, including drug offenses, theft, and prostitution. District Attorney Larry Krasner said his office would respond to the pandemic by seeking to release most of those charged with nonviolent offenses or misdemeanors without requiring them to post bail.</t>
  </si>
  <si>
    <t>Pittsburgh</t>
  </si>
  <si>
    <t>The City Council made a two proclamations: the first enacts a moratorium on evictions, residential foreclosures, tax liens on residential properties, and utility shut-offs in response to COVID 19. The second reminds employers that the requirements of the Paid Sick Leave Act, effective March 15 2020 are mandatory for all employers.</t>
  </si>
  <si>
    <t>City of Pittsburgh Meeting Agenda</t>
  </si>
  <si>
    <t>Reading</t>
  </si>
  <si>
    <t>The City Council enacted Emergency Ordinance Bill 37-2020‚ Transferring $500,000 from Fund Balance for issues relating to COVID-19.</t>
  </si>
  <si>
    <t xml:space="preserve">The PA Supreme Court rules that no landlord or bank can evict a tenant because of failure to pay rent or mortgage payment until at least April 3. </t>
  </si>
  <si>
    <t xml:space="preserve">Governor Wolf signed legislation allocating some of the federal Coronavirus Relief funding, which included a $175M allocation for a COVID-19 Relief Mortgage and Rental Assistance Program and an additional $10M for Homeless Assistance Grants. Rental payments will be equal to 100% of monthly rent, not to exceed $750 per month, for a maximum of six months. </t>
  </si>
  <si>
    <t>Summary of New Legislation for Housing and Homelessness Assistance Programs in Pennsylvania</t>
  </si>
  <si>
    <t>Puerto Rico</t>
  </si>
  <si>
    <t>HB 2462: Creates the Forgiveness of Interest, Charges and Collection of Penalty for Late Payment, in order to establish a moratorium for the payment of mortgage loans, personal loans, credit cards, vehicle financing, telecommunications service, water service, electric energy service; relates to Executive Order 2020-023, relative to coronavirus, is in force, the collection of interest, charges and or penalties for these services and or debts is prohibited and a viable payment plan for the debtor is guaranteed.</t>
  </si>
  <si>
    <t>SB 1549  Establishes the Law on Attention to Homeless Persons during the Coronavirus Emergency, in order to adopt emergency measures in Puerto Rico to attend to the homeless population during the state of emergency due to coronavirus, ensuring the voluntariness, dignity and rights of the homeless; establishes prevention and primary and secondary care measures for the homeless in Puerto Rico; establishes transitional measures subsequent to the repeal of the emergency declaration.</t>
  </si>
  <si>
    <t>Rhode Island</t>
  </si>
  <si>
    <t>Court orders eviction proceedings to be on hold until April 17th. While no new eviction cases will be heard, tenants for whom a judge has already ordered an eviction can still be forcibly removed from their homes.</t>
  </si>
  <si>
    <t>Rhode Island has made $1.5 million in emergency rental assistance available to low-income renters who have been impacted by the COVID-19 emergency and are at immediate risk of homelessness. Those who qualify can receive a grant of up to $5,000 to support past due rent payments and other fees. Requirement information and details are available at www.HousingHelpRI.com or by calling 211.</t>
  </si>
  <si>
    <t>State unveils new models, rental assistance available for low-income Rhode Islanders</t>
  </si>
  <si>
    <t>The state Department of Corrections is providing weekly lists of prisoners being held on low bail amounts to the public defender’s and attorney general’s offices for assessment.</t>
  </si>
  <si>
    <t>South Carolina</t>
  </si>
  <si>
    <t>The City Council discussed a request to Stay All Evictions Within the corporate limits of the City of Columbia due to the emergency situation caused by COVID 19</t>
  </si>
  <si>
    <t>Columbia City Council Meeting Agenda</t>
  </si>
  <si>
    <t>About 85 inmates have been released from the Greenville County Detention Center; those charged with non-violent offenses including many with magistrate-level charges were identified by Detention Center staff, the 13th Circuit Solicitor's Office and the county public defender's office.</t>
  </si>
  <si>
    <t>Horry County</t>
  </si>
  <si>
    <t>Horry County has received  $622,221 from the U.S. Department of Housing and Urban Development Emergency Solutions Grant program for rental assistance.</t>
  </si>
  <si>
    <t>Horry County receives funding to help those struggling to pay rent due to COVID-19</t>
  </si>
  <si>
    <t>Rep. JA Moore (D-Berkeley) will file a bill next week that will temporarily provide relief throughout the extent of the national emergency by instituting a six month halt on all evictions. It would also require landlords to not report to any credit bureau if a renter is affected by business closures, quarantine or illness from the coronavirus</t>
  </si>
  <si>
    <t>Chief Justice Don Beatty halted all evictions statewide until May 1, except in cases that involve “essential services and/or harm to person or property”.</t>
  </si>
  <si>
    <t>South Carolina Housing will be providing approximately $5 million in emergency rental assistance to South Carolinians facing financial hardships as a result of the COVID-19 pandemic. Eligible households could receive up to $1,500, with payments made directly to landlords or management companies. Relief will be provided as a one-time lump sum toward tenants’ rent payments.</t>
  </si>
  <si>
    <t>SC Housing authorizes $5 Million for COVID-19 rental assistance</t>
  </si>
  <si>
    <t>Supreme Court Chief Justice Donald Beatty directed all magistrates, municipal judges, and summary court staff to release all persons charged with a noncapital crime, unless there is an “unreasonable danger to the community.”</t>
  </si>
  <si>
    <t>Supreme Court Memorandum</t>
  </si>
  <si>
    <t>South Dakota</t>
  </si>
  <si>
    <t>Tennessee</t>
  </si>
  <si>
    <t>Davidson County</t>
  </si>
  <si>
    <t>Mayor John Cooper has announced that the Davidson County Sheriff's Office would stop serving evictions for victims of the tornado or who are dealing with the COVID-19 outbreak.</t>
  </si>
  <si>
    <t>Shelby County</t>
  </si>
  <si>
    <t xml:space="preserve">The Board of Commissioners considered a resolution amending the FY 2020 Operating Budget in the amount of $100,000 for a grant to the Community Foundation of Greater Memphis in order to provide additional support to the COVID-19 Pandemic Response Fund. </t>
  </si>
  <si>
    <t>Shelby County Board of Commissioners designated $500,000 will go towards helping Shelby county residents with rent and mortgage assistance. They make direct payments between $1,000-$1,500 to landlords and mortgage companies.</t>
  </si>
  <si>
    <t>Shelby County providing financial assistance for residents impacted by COVID-19</t>
  </si>
  <si>
    <t>The state has suspended most in-person court proceedings because of coronavirus, in effect limiting eviction proceeding, although courts will remain open for employees and some court proceedings will continue.</t>
  </si>
  <si>
    <t>Texas</t>
  </si>
  <si>
    <t>Austin</t>
  </si>
  <si>
    <t>The City of Austin Neighborhood Housing and Community Development Department announced Friday that they are providing $1.2 million in emergency rental assistance to Austinites affected by the COVID-19 outbreak.The funds will be administered through a contract with the Housing Authority of the City of Austin. The RENT program will distribute one-time rental subsidies through a lottery system similar to HACA’s Housing Choice Voucher program.</t>
  </si>
  <si>
    <t>City of Austin issuing $1.2M in residential rental assistance amid coronavirus pandemic</t>
  </si>
  <si>
    <t>Bexar County</t>
  </si>
  <si>
    <t>Bexar County leaders, trying to plot a path forward through the COVID-19 pandemic, launched a $4 million rental assistance program. The fund will provide up to three months of assistance for people affected by furloughs, layoffs or other income losses resulting from the pandemic. It will be overseen by the Housing Authority of Bexar County.</t>
  </si>
  <si>
    <t>Bexar County leaders gauge COVID-19 business, rental assistance programs</t>
  </si>
  <si>
    <t>Bexar County Sheriff's Office has released a COVID-19 Mitigation Plan which includes: 
-BCSO will work to reduce jail population by coordinating with the courts to maximize use of GPS releases for sentenced prisoners. Additionally, BCSO will suspend the Work Release Program until further notice.
-BCSO will work to minimize custodial arrests by filing non-violent offenses at large.</t>
  </si>
  <si>
    <t>Dallas</t>
  </si>
  <si>
    <t>The Dallas City Council is considering a mortgage and rental assistance program that would provide around $13.7 million for rental assistance through CARES Act funding. Those who meet certain qualifications can receive up to $1,500 a month for up to three months of rent, mortgage or utility payments. Those who need more long-term help could secure up to two years of payments. Most of the long-term assistance will be earmarked for those at or below 60% of the area median income.</t>
  </si>
  <si>
    <t>Dallas to give millions for rent, mortgage help and small business aid; eviction protections approved</t>
  </si>
  <si>
    <t>Denton</t>
  </si>
  <si>
    <t>The United Way of Denton County has created a referral partnership with the city of Denton to help people who have been financially impacted by COVID-19 get access with rent assistance, food and other community needs. The expanded program will be funded by a $50,000 contribution from the city.</t>
  </si>
  <si>
    <t>United Way expands program to help people financially impacted by COVID-19</t>
  </si>
  <si>
    <t>El Paso</t>
  </si>
  <si>
    <t>Fort Bend County</t>
  </si>
  <si>
    <t>Fort Bend County approved $19.5 million of funding to assist renters and landlords in paying rent, mortgage, and utilities during the Coronavirus pandemic. Funding for the County’s rental assistance program comes through the Federal CARES Act. The funding will be implemented in 3 phases of $6,500,000 each.</t>
  </si>
  <si>
    <t>Fort Bend County to Distribute $19.5 Million for Rent, Mortgage, and Utility Relief</t>
  </si>
  <si>
    <t>Fort Worth</t>
  </si>
  <si>
    <t>The city of Fort Worth is preparing to distribute about $15.4 million in federal funding to a few thousand families struggling because of the coronavirus pandemic. ($8.2 million dollars in Housing and Urban Development and Health and Human Services funding and $7.2 million in federal coronavirus relief fund resources). Approved families could get $1,200 a month for up to three months, and an estimated 4,200 households may receive help through this.</t>
  </si>
  <si>
    <t>Fort Worth to Provide $15.4M for Rent, Utility Relief to Families Struggling Due to COVID-19</t>
  </si>
  <si>
    <t>Houston</t>
  </si>
  <si>
    <t>The Houston City Council has approved a $15 million rent relief program that will use millions in federal COVID-19 relief money to help Houstonians pay their rent. The program will be funded through the federal CARES Act.</t>
  </si>
  <si>
    <t>$15 million Houston rent relief expected to help thousands starts today</t>
  </si>
  <si>
    <t>Killeen</t>
  </si>
  <si>
    <t>The City of Killeen dedicated CARES Act funding to assist residents with utility bills and rent who have experienced job loss, reduction in hours of employment, inability to work because of quarantine or a related situation resulting from the pandemic.</t>
  </si>
  <si>
    <t>Killeen launches rent, utility relief programs for those impacted by COVID-19 pandemic</t>
  </si>
  <si>
    <t>San Antonio</t>
  </si>
  <si>
    <t>The San Antonio Apartment Association is partnering with the city to cover 100 percent of April rent for people who qualify for the city's risk mitigation fund. Tenants who have lost their jobs or been laid off due to COVID-19 are eligible for the program and could qualify for 75% of their rent to be paid by the city and 25% rent forgiveness from landlords.</t>
  </si>
  <si>
    <t>The Texas Supreme Court issued an order stopping eviction proceedings for the next 30 days, until April 19. There are exceptions for criminal activity or if the tenants "pose an imminent physical threat."</t>
  </si>
  <si>
    <t xml:space="preserve">Texas will provide HOME Tenant Based Rental Assistance (TBRA) to Texans experiencing housing challenges due to COVID-19. These TBRA funds have been made possible through a series of waivers recently authorized by the U.S. Department of Housing and Urban Development (HUD). The HUD waivers will allow a portion of TDHCA funds to be used to help families and individuals with up to 100 percent of the cost of rent, security deposit payments and utility bills for tenants affected by loss of income due to the COVID-19 pandemic. Up to $11.3 million will be available to current TBRA administrators in coming weeks who will then distribute the aid to qualifying Texans. </t>
  </si>
  <si>
    <t>Travis County</t>
  </si>
  <si>
    <t>Travis Co. Justice of the Peace issued orders to pause all eviction hearings until at least April 1.Writs of possession, which give the county constable a right to forcibly remove someone from their home after they've been evicted, will also be stalled for 60 days./ Austin Energy also announced Friday morning it would suspend all shutoffs of utilities due to unpaid bills since some people may lose wages during the COVID-19 pandemic. For most customers, this includes electricity, water, trash collection and recycling.</t>
  </si>
  <si>
    <t>The Travis County Commissioners Court unanimously approved the allocation of $10 million for direct rent, mortgage and utility assistance. The rental assistance will be available to Travis County residents. This one-time cash assistance was complemented by a $2.4 million budget transfer to the county’s emergency assistance program to make up for the pre-Covid funding shortfall. The budget transfer will be an ongoing source of financial assistance for county residents seeking help with rent or mortgage payments and represents a 355 percent increase in funding. However, the county will need to use the $10 million of rental assistance funds taken from its $61 million CARES Act allocation by December.</t>
  </si>
  <si>
    <t>Travis County approves $10M for direct rental and mortgage assistance</t>
  </si>
  <si>
    <t>The criminal courts have stopped conducting jury trials through May 8 and have also put other case settings on hold to eliminate nonessential traffic in the courthouse. Statistics from the local office of court administration show criminal court judges on Friday approved 71 personal bonds, up from 46 on each of the two previous Fridays.</t>
  </si>
  <si>
    <t>Waco</t>
  </si>
  <si>
    <t>The EOAC and the City of Waco have partnered together to create a new rental assistance program that provides rental and mortgage payments to help families who have been affected by COVID-19, due to job loss or a reduction in income. Three months of payments, not exceeding $2,400 will be available for families to avoid eviction and foreclosure.</t>
  </si>
  <si>
    <t>Rental Assistance available in Waco</t>
  </si>
  <si>
    <t>Utah</t>
  </si>
  <si>
    <t>Moab</t>
  </si>
  <si>
    <t>City of Moab, Grand County and the Housing Authority of South Eastern Utah will oversee the distribution of dontated funds to support rental assistance.</t>
  </si>
  <si>
    <t>Moab Creates Rent Assistance Fund For Residents Facing "Crippling" Bills After Tourism Shutdown</t>
  </si>
  <si>
    <t>Salt Lake Co., Tooel Co., &amp; Summit CO</t>
  </si>
  <si>
    <t>The 3rd District Court put a hold on most hearings including eviction cases for three weeks.</t>
  </si>
  <si>
    <t>Salt Lake County</t>
  </si>
  <si>
    <t>SLCo has secured two government-owned facilities to temporarily house people who don't have a way to isolate or quarantine on their own. SLCoHD is not disclosing the location of those buildings out of privacy concerns. SLCoHD is partnering with healthcare providers, primarily Fourth Street Clinic, to triage individuals who are displaying respiratory symptoms. SLCoHD has set up a tent at Fourth Street Clinic to serve symptomatic individuals. SLCo is putting plans in place for a second location for triaging symptomatic clients.</t>
  </si>
  <si>
    <t>The Utah Department of Corrections (UDC) is making referrals to the Utah Board of Pardons and Parole (BOPP) for release of incarcerated individuals, who are already within 90 days of their scheduled release date and have an approved address.</t>
  </si>
  <si>
    <r>
      <rPr>
        <b/>
        <sz val="11"/>
        <rFont val="Calibri"/>
        <family val="2"/>
      </rPr>
      <t xml:space="preserve">(Note: is not a statewide moratorium) </t>
    </r>
    <r>
      <rPr>
        <sz val="11"/>
        <rFont val="Calibri"/>
        <family val="2"/>
      </rPr>
      <t>Utah’s Chief Justice Matthew Durrant directed judges across the state to cancel nonessential court hearings amid coronavirus concerns</t>
    </r>
  </si>
  <si>
    <t>The state is planning to launch a $1 million rental assistance program. It also has another $3 million in an Emergency Solutions Grant that will shortly be activated throughout the state. The funds are associated with the CARES Act which includes money to help lessen the economic impact of the coronavirus pandemic.</t>
  </si>
  <si>
    <t>Rental assistance program to launch Monday</t>
  </si>
  <si>
    <t>Vermont</t>
  </si>
  <si>
    <t>The Vermont Supreme Court has declared a "judicial emergency" and has suspended all non emergency court hearings, including eviction hearings, in response to COVID-19.</t>
  </si>
  <si>
    <t>Gov. Phil Scott announced $50 million in housing assistance that will provide up to three months of rental assistance and rental arrearage payments to landlords whose tenants are struggling to keep up. Funding is provided through the CARES Act.</t>
  </si>
  <si>
    <t>GOVERNOR PHIL SCOTT ANNOUNCES FIRST ECONOMIC RELIEF AND RECOVERY PACKAGE</t>
  </si>
  <si>
    <t>Councilperson Erika Strassburger introduced legislation to add “actual or perceived citizenship status” and “actual or perceived language spoken” as protected classes under Title Six: Conduct in the City Code. This would prohibit housing and public accommodation discrimination based on these protected classes.</t>
  </si>
  <si>
    <t>New Legislation Expands Protections Against Discrimination in Housing</t>
  </si>
  <si>
    <t>A new Vermont task force is going to be looking for ways to promote racial, ethic and cultural equity in the state, including the state’s response to the COVID-19 pandemic. The task force will also review state and federal laws on hate speech and freedom of speech and look for ways to encourage people from underrepresented racial and ethnic groups to run for office and serve in public offices.</t>
  </si>
  <si>
    <t>Vermont task force to look at racial disparities in COVID-19</t>
  </si>
  <si>
    <t>Washington</t>
  </si>
  <si>
    <t>Wisconsin</t>
  </si>
  <si>
    <t>Milwaukee</t>
  </si>
  <si>
    <t>Milwaukee County will initially focus on five areas to transform the services it provides and create a system that works for all residents. Milwaukee County will:
• Build a more diverse and inclusive workforce in which employees reflect the diversity of the community at all levels and where differences are welcomed and valued.
• Ensure a diverse array of Milwaukee County employees at all levels are involved in designing equitable programs and services that meet the needs of the community.
• Design Milwaukee County services to meet residents’ needs, rather than asking residents to fit their needs into existing Milwaukee County services.
• Track and analyze data to better understand the impact of County services and find solutions accordingly.
• Generate new sources of revenue and implement additional efficiencies to address the structural deficit and make needed investments that advance racial equity.</t>
  </si>
  <si>
    <t>MILWAUKEE COUNTY PASSES ORDINANCE TO ADVANCE RACIAL EQUITY ANDIMPROVE HEALTH OUTCOMES</t>
  </si>
  <si>
    <t xml:space="preserve">Virgin Islands </t>
  </si>
  <si>
    <t>Virginia</t>
  </si>
  <si>
    <t>Alexandria</t>
  </si>
  <si>
    <t>Alexandria is now accepting applications for $600 per month for three months of emergency rental assistance for low-income residents affected by COVID-19. Funding is provided through the CARES Act.</t>
  </si>
  <si>
    <t>Alexandria Now Offering Emergency Rent Relief for Residents Affected by COVID-19</t>
  </si>
  <si>
    <t>Loudon County</t>
  </si>
  <si>
    <t>The Board of Supervisors approved re-allocating $200,000 from the Eastern Loudoun County Home Revitalization Program to create the rental assistance program. Assistance may be provided for up to three months of rent.</t>
  </si>
  <si>
    <t>The Supreme Court of Virginia has suspended all new eviction cases in the Commonwealth of Virginia for tenants unable to pay rent as a result of COVID-19 through April 6.</t>
  </si>
  <si>
    <t>Governor Ralph Northam today announced an initial $2.5 million in emergency funding to shelter Virginia’s statewide homeless population during the COVID-19 pandemic. This emergency support will provide temporary housing for the approximately 1,500 Virginians who are currently unsheltered or rely on shelters that require them to leave every day. The funding will also provide housing for individuals in shelters that may need to be quarantined, or where social distancing is not feasible. Funding will be used for hotel and motel vouchers, case management, food, cleaning supplies, and medical transportation. The Federal Emergency Management Agency (FEMA) will provide partial funding to support individuals experiencing homelessness who are 65 and older, those with other pre-existing conditions, and those who have tested positive for COVID-19. People experiencing homelessness are more likely to have chronic health conditions that go untreated, and are among the populations most vulnerable to the spread of COVID-19. In recent years, Virginia has seen an increase in the number of older adults experiencing homelessness.</t>
  </si>
  <si>
    <t>Virginia Beach</t>
  </si>
  <si>
    <t>The Virginia Beach Eviction Prevention Assistance program will provide eligible households with short-term assistance towards rental arrears since April 1, 2020 and one month’s rent. Assistance is provided one time, and payments are made directly to the landlord or property manager. CARES Act funds will be used for this program.</t>
  </si>
  <si>
    <t>Virginia Beach suspends eviction prevention program for renters impacted by COVID-19</t>
  </si>
  <si>
    <t>Bellingham</t>
  </si>
  <si>
    <t xml:space="preserve">The City Council considered an Emergency Ordinance to Allow Public Facilities in the City to be Used to Provide Temporary Shelter for People Experiencing Homelessness and Other Services Needed to Respond to the COVID-19 Pandemic. </t>
  </si>
  <si>
    <t>Bremerton</t>
  </si>
  <si>
    <t>An additional $268,383 from the CARES Act Federal Stimulus package was added to the Bremerton COVID-19 Rental Assistance Program in response to the COVID-19 pandemic and the council approved making the funds available for the rental assistance program last month.</t>
  </si>
  <si>
    <t>Additional money now available for Bremerton’s rental assistance program</t>
  </si>
  <si>
    <t>Clallam County</t>
  </si>
  <si>
    <t>The Board discussed the Grant Agreement Housing Assistance Unit for Washington Stat COVID-19 Outbreak Emergency Housing Grant and a resolution for Declaration of emergency for COVID-19 virus event in Clallam County.</t>
  </si>
  <si>
    <t xml:space="preserve">Kent City </t>
  </si>
  <si>
    <t>The Council heard a Resolution Discouraging Landlords and the Sheriff from Pursuing or Enforcing Evictions Related to the Inability to Pay Rent due to Personal Effects of the Coronavirus.</t>
  </si>
  <si>
    <t>Kent City Council Agenda</t>
  </si>
  <si>
    <t xml:space="preserve">King County </t>
  </si>
  <si>
    <t>County Council considered relating to residential and commercial tenant protections during the COVID-19 pandemic; and declaring an emergency.</t>
  </si>
  <si>
    <t>King County Council</t>
  </si>
  <si>
    <t xml:space="preserve">King County has opened several isolation and quarantine beds in Issaquah, Kent, and in modular units in North Seattle. Individuals living homeless who test positive and need isolation will be provided transportation to one of these sites and once recovered will be provided free transportation back to their city of origin. Individuals unwilling to voluntarily sign a Health Officer directive requiring isolation may be detained involuntarily. </t>
  </si>
  <si>
    <t>United Way of King County, the City of Seattle, and King County announced a partnership to expand the United Way’s Home Base program to help provide rental assistance to King County households. An initial investment of $5 million in public and private funds will go to qualifying residents who lost all or part of their income due to the pandemic. The funds, which will go into the United Way’s Community Relief Fund, are designed to provided one-time payments.</t>
  </si>
  <si>
    <t>King County Executive Dow Constantine today signed an Executive Order suspending the Work Release Program. The Department of Adult and Juvenile Detention has already decreased the number of adults incarcerated by more than 300 over the past few weeks, from 1,940 on March 1 to 1,638 today. 
King County jails no longer accept people who are arrested for violating the terms of their state Department of Corrections community supervision and are returning people who are in county custody back to state custody. 
Jails will not accept people brought in for misdemeanor charges, except for misdemeanor assaults, violations of no contact or protection orders, DUIs, sex crimes or other charges which present a serious public safety concern. Jails will continue to accept people booked for felony investigations for now. In the meantime, jail administrators have asked all law enforcement to prioritize bookings for those who pose an imminent risk to public safety.</t>
  </si>
  <si>
    <t>Pierce County</t>
  </si>
  <si>
    <t>The City council heard a resolution relating to the COVID 19 pandemic urging a stay of evictions and utility turn offs due to the economic impact of households in Pierce County. The Council discussed actions relating to COVID 19 emergency shelter grants.</t>
  </si>
  <si>
    <t>Pierce City Council Meeting Agenda</t>
  </si>
  <si>
    <t>Renton</t>
  </si>
  <si>
    <t xml:space="preserve">The Council heard a resolution supporting the State Moratorium on residential evictions for non-payment of rent and supporting Mayor Pavone's Emergency Order #2020‚ supporting the same.  </t>
  </si>
  <si>
    <t>Seattle</t>
  </si>
  <si>
    <t>Seattle Mayor Jenny Durkan issued a moratorium on residential evictions for nonpayment until termination of the civil emergency declared on March 3, 2020, or 30 days from the effective date of the Emergency Order on March 13. It blocks landlords from issuing a notice of termination or initiating an eviction for nonpayment of rent. It also blocks late fees or other charges due to late payment of rent during the moratorium.</t>
  </si>
  <si>
    <t>The Council heard an ordinance relating to residential rental agreements; allowing residential tenants to pay rent in installments when the tenant is unable to timely pay rent; declaring an emergency; and establishing an immediate effective date.</t>
  </si>
  <si>
    <t>Spokane County</t>
  </si>
  <si>
    <t>The three courts in Spokane each signed emergency orders on Monday, postponing trials and requiring that many hearings take place by phone or video conferencing. Presiding Judge Matthew Antush signed an order to reduce the jail population. The order suspended many Municipal Court operations and resulted in the release of 48 prisoners who were awaiting trial and some who were serving sentences for misdemeanor crimes.</t>
  </si>
  <si>
    <t>Governor Inslee issued an Executive order mandating that commercial and residential construction is not authorized under the Proclamation because construction is not considered to be an essential activity. an exception to the order allows for construction in the following limited circumstances...To further a public purpose related to a public entity or governmental function or facility, including but not limited to publicly financed low-income housing.</t>
  </si>
  <si>
    <t>Statewide moratorium on evictions of residential tenants for 30 days. Residential landlords are prohibited from serving a notice of unlawful detainer for default payment of rent. Residential landlords would also be prohibited from issuing a 20-day notice for unlawful detainer, unless the landlord attaches an affidavit attesting that the action is believed necessary to ensure the health and safety of the tenant or other individuals. Also suspends utility disconnection and waives late fees.</t>
  </si>
  <si>
    <t>Legislature approved an additional $170 million for services to address the state's homelessness crisis.</t>
  </si>
  <si>
    <t xml:space="preserve">In response to the COVID-19 emergency, rural counties are eligible to receive Economic Opportunity Grant funding for economic, housing, and public health services. A total of $1.8 million is being distributed between eligible counties with an existing CDBG Public Services Grant contract through an expedited amendment process to fund COVID-19 response services in rural areas. The state has also issued Guidance and Tips for homeless service providers. </t>
  </si>
  <si>
    <t xml:space="preserve">Commerce provides $9 million in rent and energy assistance to serve estimated 5,000 low-income households  </t>
  </si>
  <si>
    <t>The Supreme Court of Washington issued an order recommending local courts expedite pre-trial releases. The order also allows courts to consider the COVID-19 crisis as a material change in circumstances when considering the conditions of release.</t>
  </si>
  <si>
    <t>Supreme Court Emergency Order re CV19</t>
  </si>
  <si>
    <t>Tacoma</t>
  </si>
  <si>
    <t>The Council heard Approval of an Emergency Rule imposing a moratorium on residential evictions for non-payment in the event the Governor's Proclamation 20-19 is not extended beyond April 17, 2020.</t>
  </si>
  <si>
    <t>The City of Tacoma has a $1.2 million housing trust fund dedicated to rental assistance. People who live within the City of Tacoma, who make 50% or less of the median household income in Pierce County, and who have been economically impacted by COVID-19 can apply for the funding. People are eligible to received upward of $1000 which will go toward paying rent. The money will go directly to landlords.</t>
  </si>
  <si>
    <t>City of Tacoma offers rent assistance to people impacted by COVID-19</t>
  </si>
  <si>
    <t>Whatcom County</t>
  </si>
  <si>
    <t>The County Council will hear two discussions on COVID-19 regarding rental eviction proceedings and property tax.</t>
  </si>
  <si>
    <t>The County Council will hear a request authorization for the County Executive to enter into an interlocal agreement between Whatcom County and Washington State Department of Commerce for emergency housing funding necessary to immediately respond to the COVID-19 outbreak, in the amount of $905,821.</t>
  </si>
  <si>
    <t>West Virginia</t>
  </si>
  <si>
    <t xml:space="preserve">Governor Jim Justice issued an Executive order to stay at home effective March 24th, 8pm. Non-essential business and activities prohibited. Essential work includes specific infrastructure activity:  "...(including without limitation construction required in response to this public health emergency, hospital construction, construction of long-term care facilities, public works construction, school construction, essential business construction, and housing construction)..." </t>
  </si>
  <si>
    <t xml:space="preserve">Wisconsin </t>
  </si>
  <si>
    <r>
      <t xml:space="preserve">Governor Evers issued an Executive Order prohibiting non-essential work or business to take place. </t>
    </r>
    <r>
      <rPr>
        <b/>
        <sz val="11"/>
        <rFont val="Calibri"/>
        <family val="2"/>
      </rPr>
      <t>Essential Infrastructure</t>
    </r>
    <r>
      <rPr>
        <sz val="11"/>
        <rFont val="Calibri"/>
        <family val="2"/>
      </rPr>
      <t>. For purposes of this Order, individuals may leave their residence to provide any services or perform any work necessary to offer, provide, operate, maintain, and repair Essential Infrastructure. Essential Infrastructure includes, but is not limited to: food production, distribution, fulfillment centers, storage facilities, marinas, and sales; construction (including, but not limited to, construction required in 6 response to this public health emergency, hospital construction, construction of long-term care and assisted living facilities, public works construction, school construction, Essential Business and Operations construction, construction necessary for Essential Governmental Functions, and housing construction, except that optional or aesthetic construction should be avoided);</t>
    </r>
  </si>
  <si>
    <t xml:space="preserve">Gov Evers issued an Executive Order prohibiting landlords from serving any notice terminating a tenancy for failure to pay rent, unless it is believed that the person is an imminent threat of serious physical harm to another person. </t>
  </si>
  <si>
    <t xml:space="preserve">Gov. Tony Evers announced Wednesday, May 20 the launch of a $25 million Wisconsin Rental Assistance Program for Wisconsinites who have experienced income loss as a result of the COVID-19 pandemic. Eligible individuals may receive assistance of up to $3,000 in a combination of rental payments and/or security deposits. The effort is funded by the CARES Act. </t>
  </si>
  <si>
    <t>Gov. Evers announces $25 million Wisconsin Rental Assistance Program</t>
  </si>
  <si>
    <t>Wisconsin Department of Corrections Secretary has implemented these measures: 
-Releasing supervision holds on 1,148 non-violent misdemeanants throughout the state
-Releasing others persons in custody that qualified for Certain Earned Release. These non-violent persons had less than one year to serve in prison and will be on community supervision  
-65 individuals participating in an Alternative for Revocation (ATR) at the Milwaukee Secure Detention Facility (MSDF) were identified and will be released on April 2, 2020</t>
  </si>
  <si>
    <t>Wyoming</t>
  </si>
  <si>
    <t>The Wyoming Legislature have passed legislation which would authorize a COVID-19 rent assistance program and relief and protections for Wyoming employers if Governor Gordon signs the legislation into law. Up to $15 million from the $1.25 billion in federal CARES Act funding or future federal funding received by Wyoming would go toward the rent assistance program.</t>
  </si>
  <si>
    <t>WYOMING LEGISLATURE AUTHORIZE COVID-19 RENT ASSISTANCE AND PROTECTIONS FOR EMPLOYERS</t>
  </si>
  <si>
    <t>States with Federal Disaster Declaration</t>
  </si>
  <si>
    <t>Non-Congregate Shelter</t>
  </si>
  <si>
    <t>New York</t>
  </si>
  <si>
    <r>
      <t xml:space="preserve">NYS will be provided further resources under the following categories:
</t>
    </r>
    <r>
      <rPr>
        <b/>
        <sz val="11"/>
        <rFont val="Calibri"/>
        <family val="2"/>
      </rPr>
      <t>Public Assistance:</t>
    </r>
    <r>
      <rPr>
        <sz val="11"/>
        <color rgb="FF000000"/>
        <rFont val="Calibri"/>
        <family val="2"/>
      </rPr>
      <t xml:space="preserve"> The program provides funding for emergency assistance to save lives and assists communities responding to and recovering from major disasters or emergencies. State, county and municipal governments will now be eligible for 75% federal cost sharing for various costs of responding to this crisis including overtime and equipment, reducing the costs to the local property base.
</t>
    </r>
    <r>
      <rPr>
        <b/>
        <sz val="11"/>
        <rFont val="Calibri"/>
        <family val="2"/>
      </rPr>
      <t xml:space="preserve">Individual Assistance: </t>
    </r>
    <r>
      <rPr>
        <sz val="11"/>
        <color rgb="FF000000"/>
        <rFont val="Calibri"/>
        <family val="2"/>
      </rPr>
      <t>Crisis Counseling Assistance and Training Program (CCP): CCP provides eligible governments and non-governmental organizations with supplemental funding to assist disaster-impacted individuals and communities in recovering from the major disasters through the provision of community-based outreach and psycho-educational services. The goal is to aid survivors in recovering from the adverse reactions to disasters and to begin to rebuild their lives.</t>
    </r>
  </si>
  <si>
    <t xml:space="preserve">Washington </t>
  </si>
  <si>
    <t>The declaration grants the state’s request for assistance with crisis counseling and training to address the impact of the outbreak on the mental health of affected Washingtonians. Other disaster assistance programs requested in Inslee’s letter remain under review by the White House, including expanded unemployment assistance and basic food benefits.</t>
  </si>
  <si>
    <t>Governor Gavin Newsom announced that President Donald Trump has approved California’s request for a presidential Major Disaster Declaration to bolster California’s COVID-19 emergency response efforts. The request will provide additional assistance, including but not limited to, mass care and emergency assistance, crisis counseling, disaster case management, disaster unemployment assistance, disaster legal services and Disaster Supplemental Nutrition Assistance.</t>
  </si>
  <si>
    <t>Yes</t>
  </si>
  <si>
    <t>Gov. John Bel Edwards announced that his request for a statewide Major Disaster Declaration in response to the spread of COVID-19 in Louisiana was approved by President Donald Trump last night. The declaration allows the federal government to provide additional support for state and local agencies in dealing with this growing public health emergency.</t>
  </si>
  <si>
    <t>Gov. Kim Reynolds announced that President Trump has approved her request for a Presidential Major Disaster Declaration for COVID-19. The declaration provides assistance for work and services to save lives and protect property, to include emergency protective measures. Gov. Reynolds had also requested activation of the federal Disaster Unemployment Assistance and Crisis Counseling programs and statewide Hazard Mitigation Assistance funding. Those portions of her request are still under consideration</t>
  </si>
  <si>
    <t>The White House granted Governor Roy Cooper’s request for a federal disaster declaration for the COVID-19 Coronavirus pandemic in North Carolina. The declaration provides Public Assistance to all 100 North Carolina counties, allowing local governments, state agencies and eligible non-profits to be reimbursed for costs involved in responding to the outbreak of the Coronavirus. North Carolina is still waiting for additional assistance that Cooper requested including disaster unemployment assistance, crisis counseling, disaster case management and other items. They remain under review and could be granted as the COVID-19 situation evolves.</t>
  </si>
  <si>
    <t>The President approved Gov. Ron DeSantis' request for a major disaster declaration. The move makes federal funding available to state, tribal, and eligible local governments and certain private nonprofit organizations for emergency protective measures, including direct federal assistance, for all areas in the State of Florida impacted by COVID-19. It also makes federal funding available for crisis counseling for affected individuals in all areas in the State of Florida. Additional designations may be made at a later date if requested by the State and warranted by the results of further assessments.</t>
  </si>
  <si>
    <t>Trump declared that a major disaster exists in the State of Texas. The President’s action makes Federal funding available for Crisis Counseling for affected individuals in all areas in the State of Texas. Federal funding is also available to State and eligible local governments and certain private nonprofit organizations for emergency protective measures, including direct Federal assistance, for all areas in the State of Texas impacted by COVID-19.</t>
  </si>
  <si>
    <t>The President approved Governor Parson’s request that the Federal Emergency Management Agency’s Public Assistance Program be utilized to reimburse eligible expenditures made by local governments, nonprofit organizations, and the state for emergency protective measures by first responders and others responding to the coronavirus. Governor Parson’s request for federal Disaster Unemployment Assistance and Crisis Counseling are still under review. Also under review is the Governor’s request for federal hazard mitigation assistance to identify and reduce long-term risks associated with natural disasters.</t>
  </si>
  <si>
    <t xml:space="preserve">Gov Larry Hogan announced that the state received a Major Disaster Declaration. Maryland will now be eligible for reimbursement for the Emergency Protective Measures taken by state and local government agencies and certain non-profit groups under its Public Assistance program under the Robert T. Stafford Act. </t>
  </si>
  <si>
    <t>Trump declared that a major disaster exists in the State of Illinois. This declaration will provide emergency funding to increase housing and hospital capacity as the state respond to this unprecedented health crisis.</t>
  </si>
  <si>
    <t>Governor Phil Murphy announced that President Donald J. Trump has issued a Major Disaster Declaration for the State of New Jersey.  In his request dated March 23, 2020, Governor Murphy requested two types of statewide assistance, including individual assistance, which provides assistance to individuals and households, and public assistance, which includes assistance for emergency work and the repair or replacement of disaster-damaged facilities.</t>
  </si>
  <si>
    <t xml:space="preserve">Michigan </t>
  </si>
  <si>
    <t>The declaration grants the state’s request for assistance with crisis counseling. The federal government also granted the governor’s request for emergency protective measures, including funding for transporting and pre-positioning equipment, Emergency Operation Center (EOC)-related costs, medical supplies and personal protective equipment, medical care and transport, and childcare. The governor’s request for Hazard Mitigation assistance to help provide relief during planning for recovery in the long-term is currently under review.</t>
  </si>
  <si>
    <t>Waiting Confirmation</t>
  </si>
  <si>
    <t>In response to Governor Henry McMaster’s request, President Donald Trump declared that a major disaster exists in the state of South Carolina and approved federal reimbursement through FEMA for costs associated with emergency, life-safety actions in response to the novel coronavirus COVID-19 pandemic.</t>
  </si>
  <si>
    <t>FEMA announced that federal emergency aid has been made available for the Commonwealth of Puerto Rico to supplement the commonwealth and local recovery efforts in the areas affected by the Coronavirus Disease 2019 (COVID-19) pandemic beginning on Jan. 20, 2020 and continuing.</t>
  </si>
  <si>
    <t xml:space="preserve">Guam </t>
  </si>
  <si>
    <t>President Donald J. Trump declared that a major disaster exists in the territory of Guam and ordered Federal assistance to supplement territory and local recovery efforts in the areas affected by the Coronavirus Disease 2019 (COVID-19) pandemic beginning on January 20, 2020, and continuing. The President’s action makes Federal funding available to territory and eligible local governments and certain private nonprofit organizations for emergency protective measures, including direct Federal assistance, for all areas in the territory of Guam impacted by COVID-19.</t>
  </si>
  <si>
    <r>
      <rPr>
        <b/>
        <sz val="11"/>
        <rFont val="Calibri"/>
        <family val="2"/>
      </rPr>
      <t>Public Assistance Program</t>
    </r>
    <r>
      <rPr>
        <sz val="11"/>
        <color rgb="FF000000"/>
        <rFont val="Calibri"/>
        <family val="2"/>
      </rPr>
      <t xml:space="preserve"> - Under FEMA’s Public Assistance Program within the Major Disaster Declaration, affected local governments, state agencies and certain private non-profit organizations statewide will be reimbursed for 75% of their costs associated with response and emergency protective measures. The eligible emergency protective measures include non-congregate isolation and quarantine costs for homeless individuals and families as well as first responders as well as other types of properly documented costs.
</t>
    </r>
    <r>
      <rPr>
        <b/>
        <sz val="11"/>
        <rFont val="Calibri"/>
        <family val="2"/>
      </rPr>
      <t>Individual Assistance Program</t>
    </r>
    <r>
      <rPr>
        <sz val="11"/>
        <color rgb="FF000000"/>
        <rFont val="Calibri"/>
        <family val="2"/>
      </rPr>
      <t xml:space="preserve"> – Under FEMA’s Individual Assistance Program within the Major Disaster Declaration, Crisis Counseling Assistance will provide funding for the Massachusetts Department of Mental Health to assist individuals and families in recovering from the psychological effects of the COVID -19 outbreak through electronic phone and chat technology.</t>
    </r>
  </si>
  <si>
    <t xml:space="preserve">Kentucky </t>
  </si>
  <si>
    <t>Kentucky has received federal disaster designation that will provide additional funding for the commonwealth’s response to the pandemic. The Major Disaster Declaration issued by President Donald Trump broadens access to the Public Assistance Program statewide to pay for emergency protective services not covered by other federal statutes. The declaration also allows state and local agencies to recover expenses related to the response to the COVID-19 outbreak. Some examples of services covered include emergency medical care, medical sheltering, personal protective gear, law enforcement and communications, as well as the purchase and distribution of food, water, ice, medicine and other consumable supplies.</t>
  </si>
  <si>
    <t xml:space="preserve">On Wednesday, March 25, Governor Polis submitted an urgent request to the federal government to help Colorado deal with the COVID-19 pandemic. Today, Governor Polis announced that President Trump and the federal government had approved the Governor’s request in declaring a Major Disaster for the State of Colorado. </t>
  </si>
  <si>
    <t xml:space="preserve">Oregon </t>
  </si>
  <si>
    <r>
      <t>Today's Major Disaster Declaration by President Trump for the State of Oregon, retroactive to January 20, 2020, allows for the activation of FEMA’s Public Assistance program for reimbursements of emergency actions taken by state, territorial, tribal, and local government entities, as well as certain non-profit organizations.
Organizations eligible for recovery efforts on a cost-sharing basis for emergency protective measures include, but are not limited to:
•</t>
    </r>
    <r>
      <rPr>
        <b/>
        <sz val="11"/>
        <rFont val="Calibri"/>
        <family val="2"/>
      </rPr>
      <t xml:space="preserve"> Management, control and reduction of immediate threats to public health and safety;
• Emergency operation and coordination costs;
• Disinfection of eligible public facilities;
• Medical sheltering;
• Purchase and distribution of food, water, medicine and other consumable supplies, including Personal Protective Equipment.
</t>
    </r>
    <r>
      <rPr>
        <sz val="11"/>
        <color rgb="FF000000"/>
        <rFont val="Calibri"/>
        <family val="2"/>
      </rPr>
      <t>A number of significant requests pending with the federal government, first and foremost Oregon’s request for more personal protective equipment from the national stockpile. A significant part of our disaster declaration request was for individual assistance for all Oregon counties and tribes—including child care assistance, crisis counseling, disaster case management, disaster legal services, and disaster unemployment assistance for Oregonians. That request is still also pending, and would provide significant relief to Oregon families if approved.</t>
    </r>
  </si>
  <si>
    <t xml:space="preserve">Connecticut </t>
  </si>
  <si>
    <t>Today’s approval is for public assistance, meaning that impacted state agencies and municipalities in all eight counties will be reimbursed for 75 percent of the costs associated with their response and emergency protective measures. The governor’s other request for disaster assistance, including individual assistance that could provide Connecticut residents with a number of critical benefits, such as expanded unemployment assistance, food benefits, and child care assistance, remains under review by the White House.</t>
  </si>
  <si>
    <t>The declaration for federal assistance currently covers Emergency Protective Measures, which are those actions taken to eliminate or lessen immediate threats to lives, public health, or safety. This declaration also allows federal agencies to provide direct assistance to the State of Georgia.</t>
  </si>
  <si>
    <t xml:space="preserve">D.C. </t>
  </si>
  <si>
    <t>The Declaration will provide assistance to the District’s Emergency Response Services and to residents and businesses that have been severely impacted by COVID-19. Through the declaration, Mayor Bowser requested federal emergency assistance for immediate threats to public health and safety, medical care and sheltering, movement of supplies and logistics, and other programs to slow the spread of COVID-19.</t>
  </si>
  <si>
    <t>President Donald Trump approved a major disaster declaration for the State of Alabama. As part of the declaration, the president ordered federal assistance to supplement state and local recovery efforts in areas affected by the COVID-19 pandemic. Part of the assistance includes federal funding for emergency protective measures, available to state and local governments, along with certain private nonprofit organizations.</t>
  </si>
  <si>
    <t>On behalf of the people of Kansas, I want to thank President Trump for granting this declaration,” Gov. Kelly said. “This money will go a long way toward protecting the emergency personnel who work tirelessly to stem the outbreak and care for those stricken by this virus. I thank them for their dedication and I also want to thank everyone who coordinates the many behind-the-scenes pieces of disaster management the public rarely sees, but are so important in protecting the health and safety of all Kansans.</t>
  </si>
  <si>
    <t>The Federal Emergency Management Agency (FEMA) announced today that President Donald Trump has approved a major coronavirus disaster declaration for Rhode Island, freeing up needed federal emergency aid to help the state combat the novel coronavirus (COVID-19).</t>
  </si>
  <si>
    <t>Eligible expenses can include but are not limited to costs associated with paying overtime, or materials and equipment purchases. The declaration also provides direct federal assistance, which provides federal materials and supplies to support state and local response efforts. Governor Wolf said his request for other federal aid remains under consideration. His letter to the President included the following Individual Assistance programs: Disaster Unemployment Assistance, Crisis Counseling, Community Disaster Loans and the Disaster Supplemental Nutrition Program; and Statewide Hazard Mitigation.</t>
  </si>
  <si>
    <t>Through the declaration, Trump has ordered federal assistance to help supplement state and local recovery efforts in the areas affected by COVID-19.</t>
  </si>
  <si>
    <t xml:space="preserve">This declaration, numbered FEMA-4510-DR, makes the State of Hawai’i eligible for reimbursement through the Public Assistance Program at a 75% Federal Cost Share. The Individual Assistance (IA) Program for disaster-related emergency facilites and the Hazard Mitigation Grant Program (HMPG) for mitigation measures to reduce the risk of life are currently under review. The Hawai’i Emergency Management Agency (HI-EMA) is already moving to support an expedited process for Public Assistance through an online application process with our State Partners, which will help with the volume of applicants from this unprecedented incident and its consequent reimbursements. </t>
  </si>
  <si>
    <t>EMA announced that federal emergency aid has been made available for the state of Montana to supplement state, tribal and local recovery efforts in the areas affected by the Coronavirus Disease 2019 (COVID-19) pandemic beginning on January 20, 2020 and continuing.</t>
  </si>
  <si>
    <t>In declaring that a major disaster exists in North Dakota, President Trump ordered federal assistance to supplement state, tribal and local recovery efforts in areas affected by the coronavirus disease, COVID-19. The declaration makes federal funding available to state, tribal and eligible local governments and certain private nonprofit organizations for emergency protective measures, including direct federal assistance.</t>
  </si>
  <si>
    <t>Virgina</t>
  </si>
  <si>
    <t>A Major Disaster Declaration designation provides federal public assistance for all areas in the Commonwealth of Virginia affected by COVID-19 at a federal cost share of 75 percent. This allows state agencies, local governments, and certain non-profit organizations to purchase additional supplies and receive reimbursements for COVID-19 related costs under its Public Assistance program. In addition, the Major Disaster Declaration authorizes federal agencies to provide direct emergency assistance to Virginia.</t>
  </si>
  <si>
    <t xml:space="preserve">Limited - Arlington VA </t>
  </si>
  <si>
    <t>Public Assistance federal funding is available to the state, and eligible local governments and certain private nonprofit organizations on a cost-sharing basis for emergency protective measures (Category B), including direct federal assistance under Public Assistance, for all areas in the State of Tennessee affected by COVID-19 at a federal cost share of 75 percent.</t>
  </si>
  <si>
    <t>Data Input</t>
  </si>
  <si>
    <t>QAP Source</t>
  </si>
  <si>
    <t>Novogradac</t>
  </si>
  <si>
    <t>Other - internet</t>
  </si>
  <si>
    <t>Available QAP Plan (Year)</t>
  </si>
  <si>
    <t xml:space="preserve">Fiscal Year Covered </t>
  </si>
  <si>
    <t>2014-2018</t>
  </si>
  <si>
    <t>2015-2018</t>
  </si>
  <si>
    <t>2017-2019</t>
  </si>
  <si>
    <t>2018-2019</t>
  </si>
  <si>
    <t>9% LIHTC Dollar Allocation Indicated in QAP Plan</t>
  </si>
  <si>
    <t xml:space="preserve">Yes </t>
  </si>
  <si>
    <t>No</t>
  </si>
  <si>
    <t>9% LIHTC Dollar Allocation Source</t>
  </si>
  <si>
    <t>Novogradac - 2018 Allocation</t>
  </si>
  <si>
    <t xml:space="preserve">Calculation </t>
  </si>
  <si>
    <t>Other - Internet</t>
  </si>
  <si>
    <t>LIHTC Allocation, Threshold, Credit Set-aside Requirement, &amp; Score Incentive Input</t>
  </si>
  <si>
    <t xml:space="preserve">No </t>
  </si>
  <si>
    <t>Housing Credit Agency (State)</t>
  </si>
  <si>
    <t>9% LIHTC Allocation Language</t>
  </si>
  <si>
    <t>Source</t>
  </si>
  <si>
    <t>Any Housing Credit allocation awarded will be calculated first by using AHFA’s determined eligible basis as defined in Section 42 of the Internal Revenue Code. Nine-Percent Credit. AHFA will calculate the Housing Credit allocation at a maximum of 9% of AHFA’s determined eligible basis for any new building or substantial rehabilitation of an existing building.</t>
  </si>
  <si>
    <t>2018 Federal Tax Credit Information - Novogradac</t>
  </si>
  <si>
    <t xml:space="preserve">QAP </t>
  </si>
  <si>
    <t>The base amount of annual credit authority is based upon population estimates released each year by the Internal Revenue Service</t>
  </si>
  <si>
    <t>A total of $13 million in annual 9 Percent Federal Credit is available for 2018.</t>
  </si>
  <si>
    <t>CT Housing LIHTC</t>
  </si>
  <si>
    <t xml:space="preserve">In the QAP, it states "The estimated dollar amounts for 2018 are based on the annual tax credit authority available. 2017 forward reservations and commitments reduce Delaware’s net available Tax Credit amount to approximately $2,557,322." But on the Novogradac website it states $2,765,000. </t>
  </si>
  <si>
    <t>The amount of 9% Tax Credits available for the District to allocate in each calendar year reflects the sum of the amounts allowed as the per-capita State Ceiling under IRC Section 42(h)(3)(C</t>
  </si>
  <si>
    <t>IRS Publishes 2018 Caps for LIHTC Bonds</t>
  </si>
  <si>
    <t>DCA estimates that approximately $23 million of federal credits will be available in the 2018 round.</t>
  </si>
  <si>
    <t>The Authority anticipates approximately $30 million in 9% Tax Credits available for Allocation &amp; $6.3 million for the City of Chicago</t>
  </si>
  <si>
    <t>2019 Federal Tax Credit Information - Novogradac</t>
  </si>
  <si>
    <t>New Hamsphire</t>
  </si>
  <si>
    <t>New York Total</t>
  </si>
  <si>
    <t>New York - HPD</t>
  </si>
  <si>
    <t>New York - DHCR</t>
  </si>
  <si>
    <t>https://shnny.org/fundingguide/low-income-housing-tax-credits-9-lihtc/</t>
  </si>
  <si>
    <t>New York - FHA</t>
  </si>
  <si>
    <t>Training for 2018 9% LIHTC &amp; HOME NOFA Powerpoint Included in Folder</t>
  </si>
  <si>
    <t>QAP states $2.35 per cap</t>
  </si>
  <si>
    <t>Virigin Islands</t>
  </si>
  <si>
    <t>West Virgina</t>
  </si>
  <si>
    <t>QAP states $2.35 per cap and indicated tax credit amount is estimated to be approximately $13.6
million, but Novogradac states $14,000,000</t>
  </si>
  <si>
    <t>SB 2695: Requires collection of demographic data for positive cases, hospitalizations and deaths due to COVID-19.</t>
  </si>
  <si>
    <t>Amendment S.2695</t>
  </si>
  <si>
    <t>Mayor de Blasio Announces Fair Recovery Taskforce</t>
  </si>
  <si>
    <t>Mayor de Blasio announced the creation of a recovery task force that will create a recovery roadmap that will inform the City's recovery efforts. 
The mayor also established a task force on racial inclusion and equity that will focus on the needs of Minority and Women-Owned Businesses and community health care providers. It will also shape strategies that narrow racial &amp; economic disparities.</t>
  </si>
  <si>
    <t xml:space="preserve">Chicago Mayor Lori Lightfoot unveiled a $5 million coronavirus relief fund aimed at giving checks to residents who were excluded from the federal stimulus aid. The fund will provide $1,000 per household for eligible Chicago residents, including undocumented individuals, mixed-status families, dependent adults, residents who recently left prison and college students living in poverty. Chicago received $1 million from the Open Society Foundations, and the other $4 million from an anonymous donor to the foundation. </t>
  </si>
  <si>
    <t>Mayor Lightfoot, The Resurrection Project, The Open Society Foundations Announce Up To $5 Million “Chicago Resiliency Fund”</t>
  </si>
  <si>
    <t>Austin City Council unanimously passed Item 94 that directs the City Manager to work with community partners and bring recommendations on how to reduce rental discrimination based on an individual’s felony and misdemeanor background and eviction history in any city funded affordable housing. These recommendations include: shorter look-back periods for convictions, written notification of reasoning for application rejection, and limiting the addition of new conviction categories.</t>
  </si>
  <si>
    <t>Resolution No. 94</t>
  </si>
  <si>
    <t>The City and Borough of Juneau Assembly are considering an Emergency Appropriation Resolution, appropriating $200,000 to the City Manager for an Emergency Rental Assistance Program, will also be heard. Funding for the resolution would be provided by the Affordable Housing Fund.</t>
  </si>
  <si>
    <t>Riverside County unveils COVID-19 rent assistance program, plan to review law enforcement policies</t>
  </si>
  <si>
    <t>The state Department of Housing will provide $2.5 million to landlords whose undocumented tenants have fallen behind on rent, and a charity, 4-CT.org, will provide $1 million to be distributed to families screened for need by community groups.</t>
  </si>
  <si>
    <t>Connecticut provides coronavirus assistance for undocumented</t>
  </si>
  <si>
    <t>Miami Gardens</t>
  </si>
  <si>
    <t>The city of Miami Gardens is offering rental assistance to residents who have experienced financial hardship due to the coronavirus pandemic.</t>
  </si>
  <si>
    <t>Miami Gardens Offering Rental Assistance to Residents Affected by COVID-19</t>
  </si>
  <si>
    <t>The Riverside rental assistance program will provide up to three months of financial aid, with no repayment required, benefitting up to 10,000 households. It will be funded with up to $30 million available to the county under the CARES Act, as well as with help from two nonprofits.</t>
  </si>
  <si>
    <t>Fort Bend County launched a new program to help residents pay rent, utilities and mortgage during the coronavirus pandemic. A total of $19.5 million for rental and mortgage assistance will be distributed in three phases between June and November from federal CARES Act funding. The county also has $2 million in funds for utility assistance.</t>
  </si>
  <si>
    <t>Fort Bend County launches $19.5M rental assistance program June 1</t>
  </si>
  <si>
    <t>Rental Assistance Program will launch June 15</t>
  </si>
  <si>
    <t>The COVID-19 Rental Assistance Program will launch June 15, offering financial assistance to residents of Tompkins County. Residents can apply for assistance with rent if they have lost income due to COVID-19, and if they fall within household income limits. The program is being funded through Community Development Block Grants awarded to Ithaca and Tompkins County by the U.S. Department of Housing to address COVID related needs. The county CDBG grant has $589,222 available to assist approximately 150 households. County funds are being designated to help full-time residents outside of the City of Ithaca only. The Ithaca Urban Renewal Agency is contributing $190,000 in CDBG funds that can be used to assist approximately 50 households within the City of Ithaca. Additionally, INHS is utilizing $200,000 in New York State HOME funds to assist renters in Seneca, Schuyler, Tioga, and Tompkins Counties.</t>
  </si>
  <si>
    <t>The Oregon legislative Emergency Board approved more than $247 million in Federal Coronavirus Relief Fund to support Oregonians and businesses impacted by the pandemic. This includes $75 million to support rental assistance, housing stabilization and mortgage assistance.</t>
  </si>
  <si>
    <t>Oregon lawmakers approved $247 million for COVID-19 recovery</t>
  </si>
  <si>
    <t>Montgomery County announced on Wednesday an additional $10 million towards rent relief for its residents. The funds will come from the CARES Act and assist about 4,000 families.</t>
  </si>
  <si>
    <t>Montgomery County announces $10 million rental assistance program</t>
  </si>
  <si>
    <t>Washington State’s Department of Commerce provided up to $1,000 in rental assistance and up to $500 in energy assistance for households that qualify for the federal Low-Income Home Energy Assistance Program (LIHEAP). Commerce implemented the program with currently available funds in anticipation of receiving federal government CARES Act funding to states soon.</t>
  </si>
  <si>
    <t>The city of Aurora has established a new program, funded through the House Aurora Partnership and Community Development Block Grants, offers up to two months of rental payments to qualifying residents. At least $620,000 will be available for the program initially, coming from block grants and from the House Aurora Partnership, a partnership of the city of Aurora and community organizations that works to keep people in their homes when facing the threat of eviction or to facilitate the transition out of homelessness.</t>
  </si>
  <si>
    <t>Rental Assistance: Aurora Offering Help For Residents Affected Financially By COVID-19 crisis</t>
  </si>
  <si>
    <t>The City Council discussed an ordinance regarding rent increases during the COVID-19 Pandemic.</t>
  </si>
  <si>
    <t>An order is being prepared for signature by Hamilton County Common Pleas Judge Charles Kubicki, the court's presiding and administrative judge to release low-risk, nonviolent inmates who are not charged with sex crimes from the jail.  Officials announced there will be no jury trials in Hamilton County for at least 30 days. Kubicki said that all bench trials – trials where a judge decides whether someone is guilty – also are on hold.</t>
  </si>
  <si>
    <t>HB 578  Supports homeless shelters and rent assistance due to COVID-19, provides $20 million to the Ohio Housing Finance Agency to support homeless shelters in the state and to provide emergency rental assistance needed because of the COVID-19 pandemic. The Ohio Housing Finance Agency shall develop rules to establish an emergency rental assistance program that supports individuals affected by COVID-19.</t>
  </si>
  <si>
    <t>The Council heard a Resolution calling on the Philadelphia Sheriff's Office, the First Judicial District of Pennsylvania, and area utility companies to explore temporary moratoriums on evictions, residential foreclosures, tax liens on residential properties, and utility shut-offs in response to the COVID-19 health emergency.</t>
  </si>
  <si>
    <t>The city adopted measures to freeze rent increases for both rent-controlled and market-rate properties during the time of the COVID-19 public health emergency. Mortgage lenders also must allow borrowers to defer payments for 90 days without a late fee if there is demonstrated hardship (job loss for example).</t>
  </si>
  <si>
    <t>D.C. Council freezes rent hikes but omits undocumented immigrants from covid-19 relief bill</t>
  </si>
  <si>
    <t>St. Louis</t>
  </si>
  <si>
    <t>Krewson outlines proposed $64 million COVID-19 relief package</t>
  </si>
  <si>
    <t>Mayor Lyda Krewson announced $20 million for the city's housing department to combat homelessness including $5.6 million towards emergency shelters, $5.4 million for rental and mortgage assistance and $3 million for utility assistance.</t>
  </si>
  <si>
    <t>The city of Seattle is using federal funding to provide nearly $4 million in a rental assistance program. The funding comes from the CARES Act Community Development Block Grant, Emergency Solution Grants and Housing Opportunities for Person with AIDS funds. The funds will be divided amongst serveral organizations to distribute to vulnerable individuals in need.</t>
  </si>
  <si>
    <t>Seattle to put $4 million in federal funding toward rental assistance amid coronavirus pandemic</t>
  </si>
  <si>
    <t>City Council approved the creation of the COVID-19 Emergency Housing Assistance Program to respond to exponential increases for housing assistance requests as a result of the COVID-19 crisis. The new program is funded with $25 million from various sources, including the FY 2020 Affordable Housing Budget which has the balance currently available in the Risk Mitigation Fund, $536,233 from the Affordable Housing Fund, $5.2 million from HUD Community Development Block Grant (CDBG) program and another $7.7 million from the CARES Act CDBG funds. The remaining $2 million has been requested from the San Antonio Housing Trust Foundation and the San Antonio Housing Trust Public Facilities Corporation.</t>
  </si>
  <si>
    <t>City of San Antonio creates new $25 million assistance program for residents impacted by COVID-19</t>
  </si>
  <si>
    <t>Roseville</t>
  </si>
  <si>
    <t xml:space="preserve">The Director of Emergency Services issued an executive order that directed $500,000 of funding from the Citizens Benefit Fund to "Homeless Prevention and Rapid Rehousing" to be given to non-profits to provide emergency rental assistance, hotel vouchers, temporary financing and case management.  </t>
  </si>
  <si>
    <t>Executive Order 20-02</t>
  </si>
  <si>
    <t>The Council discussed an Ordinance amending the temporary Moratorium on Evicting Tenants to Include Commercial Tenants and Declaring the Ordinance to be an Emergency Measure. The moratorium was extended to July 28th and tenants still have 120  days after that to pay back rent.</t>
  </si>
  <si>
    <t>Mayor Kevin L. Faulconer and San Diego Housing Commission (SDHC) President and CEO Richard C. Gentry called for San Diego landlords to rent their units to San Diegans experiencing homelessness, including seniors and veterans, in an effort that builds on the successful Housing Our Heroes initiative. The call to action supports Operation Shelter to Home at the San Diego Convention Center, where case managers are working to find permanent housing for individuals experiencing homelessness. With more rental units, housing navigators at the convention center will have more options to match individuals most ready for independent living to a home.</t>
  </si>
  <si>
    <t>Mayor to Landlords: Help Us House Homeless Seniors, Veterans, Individuals</t>
  </si>
  <si>
    <t>Mayor London Breed and Adult Probation Department Announce Supportive Housing Program for People in the Criminal Justice System During COVID-19</t>
  </si>
  <si>
    <t>Mayor Breed and the Adult Probation Department announced a plan to provide supportive housing to up to 51 individuals who are involved in the criminal justice system and are experiencing homelessness using hotel rooms. These individuals will be referred by the Superior Court of San Francisco to the San Francisco Pretrial Diversion program.</t>
  </si>
  <si>
    <t>Phoenix City Council unanimously approved the allocation of nearly $27 million dollars of federal COVID-19 funding to support vulnerable populations in the community. The money will be used to combat homelessness, address housing insecurity, and provide micro-loans and grants for local small businesses and non-profits. This vote represents the largest Community Block Development Grant investment toward combatting homelessness in the city's history.</t>
  </si>
  <si>
    <t>Phoenix City Council Unanimously Approves Major Funding for Homelessness</t>
  </si>
  <si>
    <t>Miami</t>
  </si>
  <si>
    <t>The City of Miami Commission approved the creation of the Emergency Rental and Utility Assistance Program, which will provide one-time rental and/or utility assistance to income-eligible City of Miami households that suffered job loss related to the COVID-19 pandemic. The program will provide relief payments of up to $1,500 directly to landlords and/or utility companies to cover rent and utility costs on behalf of qualifying households.</t>
  </si>
  <si>
    <t>Rental &amp; Utility Assistance Program Opens to Applicants Monday, May 4</t>
  </si>
  <si>
    <t xml:space="preserve">Rent Increase Freeze for Rent Controlled Tenants
</t>
  </si>
  <si>
    <t>The city issued a rent increase freeze for tenants in Newark, coinciding with the order to allow a grace period of 60 days for residents struggling to pay rent.</t>
  </si>
  <si>
    <t>The Urban Redevelopment Authority (URA) of Pittsburgh establishes a Housing Stabilization Fund to provide short-term assistance to workers who have experienced a reduction in hours and are facing a financial hardship to pay rent and utilities. Mayor William Peduto's administration plans to issue more than $12 million in new federal funds to organizations supporting residents and small businesses impacted by the COVID-19 pandemic. The funding includes $4,193,562 in Emergency Solutions Grants (ESG-CV), which will go to programs to finance homeless shelter improvements, homelessness prevention services including rapid rehousing and rental assistance for low-income residents, and coordination between street outreach personnel and Police Bureau community resource officers on efforts to care for homeless residents.</t>
  </si>
  <si>
    <t>Richmond</t>
  </si>
  <si>
    <t>Under the authority granted by the State of Emergency declared in the Commonwealth of Virginia and in the City of Richmond, Mayor Levar M. Stoney today announced that the city will make over $5.8 million in funding available to meet the emergency housing needs of its most vulnerable populations. The mayor has authorized disbursement for the following purposes: $250,000 to Housing Opportunities Made Equal of Virginia to supplement the Eviction Diversion Program; and $300,000 to Homeward, which is part of the Greater Richmond Continuum of Care, to provide shelter and services to those experiencing homelessness during the current pandemic.</t>
  </si>
  <si>
    <t>Mayor prepares $5.8M local and federal aid package to address emergency housing needs during COVID-19 pandemic</t>
  </si>
  <si>
    <t>Madison</t>
  </si>
  <si>
    <t>Mayor Rhodes-Conway's Statement Regarding COVID-19 and Protecting the Homeless</t>
  </si>
  <si>
    <t>The City and County are collaborating to protect residents that are without housing, most of whom are served through the shelter system. As of 3/25 we have placed about 225 people into local hotels, removing them from the shelter system and reducing their exposure to risk of transmission to the coronavirus. They include 37 families (140 people); the rest single men and women.</t>
  </si>
  <si>
    <t>Knoxville</t>
  </si>
  <si>
    <t>Program aims to help Knoxvillians with rent, mortgage during pandemic</t>
  </si>
  <si>
    <t>Grand Rapids</t>
  </si>
  <si>
    <t>Working with the city of Grand Rapids and the use of federal funds, Family Promise, a non-profit is working to place 57 families, or 222 people experiencing homelessness into hotels.</t>
  </si>
  <si>
    <t>Dozens of homeless families housed in Grand Rapids hotels to prevent spread of coronavirus</t>
  </si>
  <si>
    <t>Indianapolis</t>
  </si>
  <si>
    <t>The city of Indianapolis will be using $15 million from the CARES Act to build a rental assistance program for any resident that has experienced a loss of income from COVID-19.</t>
  </si>
  <si>
    <t>City of Indianapolis passes $76M in COVID-19 relief</t>
  </si>
  <si>
    <t>Long Beach has created a $5 million program using federal Community Development Block Grant money, that will help households impacted by COVID-19 pay for rent. The program will pay up to $1,000 for three months. Households need to be making less than $63,100 for a single-person and $118,950 or less for a household of 8 people. The program was also boosted by an additional $300,000 in county funds.</t>
  </si>
  <si>
    <t>City will begin paying up to $1,000 in rent for tenants affected by COVID-19</t>
  </si>
  <si>
    <t>El Cajon city council is using some of it's $800,000 CARES Act funding to help 150 households who are unable to pay rent or utilities due to the COVID-19 emergency.</t>
  </si>
  <si>
    <t>El Cajon Mayor Bill Wells on the city’s new rental and utility assistance program</t>
  </si>
  <si>
    <t>Clearwater</t>
  </si>
  <si>
    <t>The city of Clearwater has created a Rental, Mortgage and Utility Assistance Program to support households impacted by COVID-19. The one time assistance will help households up to three month and payments will go to the utility, landlord or mortgage holder.</t>
  </si>
  <si>
    <t>RENTAL, MORTGAGE, AND UTILITY ASSISTANCE</t>
  </si>
  <si>
    <t>The Columbus City Council is allocating $50.7 million of their CARES Act funding to provide shelter for the homeless and for low-income residents to meet their basic needs.</t>
  </si>
  <si>
    <t>Columbus Council Accepts CARES ACT Funding, Approves Tax Breaks</t>
  </si>
  <si>
    <t>The city of Dayton passed legislation which caps changes on late rent payments at 5 percent of monthly rent or a maximum of $25.</t>
  </si>
  <si>
    <t>Coronavirus: City of Dayton adds protections for tenants against evictions during pandemic</t>
  </si>
  <si>
    <t>The City Council heard Discussion and action on developing a Temporary Rental/Mortgage Assistance program to benefit residents and small businesses, within the City of El Paso, that are unable to pay their rent/mortgage as a result of job loss and small businesses closing or operating at reduced capacities as a result of COVID-19. The city council approved the use of $16.4 million from the CARES Act to help with rental, mortgage and utility assistance.</t>
  </si>
  <si>
    <t>Charlotte Mayor and City Council Announce Community Recovery Task Force</t>
  </si>
  <si>
    <t>The Mayor and Council will assemble a Community Recovery Task Force to support and assist families and businesses as they plan for the future. The Community Recovery Task Force will focus on three specific areas: Small Business, Housing, and the Airport.</t>
  </si>
  <si>
    <t>Cedar Rapids</t>
  </si>
  <si>
    <t>Cedar Rapids is using $623,757 in additional CDBG funding to establish an eviction prevention program which will help low to moderate income households impacted by COVID-19 with rent and utility payment assistance.</t>
  </si>
  <si>
    <t>The City of Cedar Rapids launches eviction prevention program</t>
  </si>
  <si>
    <t>Establishing the Governor's Commission on Racial Equity and Justice</t>
  </si>
  <si>
    <t xml:space="preserve">An executive order from the governor established the Governor's Commission on Racial Equity and Justice which will study various systems in Kanses such as mental health, education, housing and economic opportunity. The commission will consist of 15 members appointed by the governor that will submit bi-annual reports to the governor about assessments, recommendations and proposals for further work. </t>
  </si>
  <si>
    <t>The Jefferson County Sheriff's Office is suspending evictions for the "foreseeable future"./  Louisville Water and LG&amp;E that they would suspend turnoffs or disconnects for residential clients.</t>
  </si>
  <si>
    <t>Eviction Diversion Program for COVID-19-related debtors</t>
  </si>
  <si>
    <t xml:space="preserve">To facilitate this transition, this order temporarily extends, and then rescinds, the eviction moratorium. Beginning July 16, 2020, Michigan landlords and lenders are strongly encouraged to take advantage of COVID-19 housing debt remedies, such as rental assistance or partial debt forgiveness as paid by grants to Housing Assesssment and Resource Agencies. </t>
  </si>
  <si>
    <t>The San Diego City Council has approved the creation of an emergency rental assistance fund tied to the ongoing coronavirus pandemic. Councilman Chris Ward proposed the creation of the Emergency Rental Assistance Program, initially designed to reallocate $61.9 million of the city’s $248.5 million federal or CARES Act funding to help San Diego’s renters. The program would provide up to $4,000 for more than 15,000 families affected by COVID-19 in the city. Half of the rental assistance fund money would be able to be applied to previously missed rent, the other half of which can be applied to coming months.</t>
  </si>
  <si>
    <t>City Council passes COVID-19 rental assistance program, looks for ways to fund it</t>
  </si>
  <si>
    <t>Applications open June 17 for Ventura County's $10 million pandemic rental assistance</t>
  </si>
  <si>
    <t>Ventura County's Pandemic Rental Assistance program will provide up to two-months rent for Ventura County residents who make less than 80 percent of the area median income to be eligible. Priority will be given to those with an annual household income that is less than 50 percent of the area median income. The program utilizes federal funding from the Coronavirus Relief Fund, established by the CARES Act. The first round of funding, which is open for applications from June 17 until July 1, totals $5 million.</t>
  </si>
  <si>
    <t>With this Notice of Funding Availability (NOFA) and Guidance, the Department of Housing and Community Development (DHCD) is announcing that $19.65M of Massachusetts Community Development Block Grant CV (CDBG-CV) funds is available to eligible municipalities to respond to COVID-19.</t>
  </si>
  <si>
    <t>NOFA Community Development Block Grant COVID-19</t>
  </si>
  <si>
    <t xml:space="preserve">Nearly 50,000 Los Angeles families could get help from a $100-million rent relief program passed by the City Council. The money would provide up to $2,000 in rental assistance for low-income households who have lost work, fallen ill or had to assist sick family members during the crisis. Funding comes from the CARES Act. </t>
  </si>
  <si>
    <t>Gov. Eric Holcomb announced the Indiana COVID-19 Rental Assistance Program, which will use $25 million in federal CARES Act funding to help Hoosiers struggling to pay rent. It will provide up to $500 per month for four months, totaling a maximum of $2,000. The assistance is for eligible renters to help cover past and ongoing rent payments or late fees.</t>
  </si>
  <si>
    <t>Gov. Holcomb announces COVID-19 rental assistance</t>
  </si>
  <si>
    <t>Governor Larry Hogan announced the commitment of $30 million in new funding to prevent evictions and help Marylanders affected by the COVID-19 pandemic. The Maryland Department of Housing and Community Development (DHCD) intends to deploy $20 million in expected federal Community Development Block Grant (CDBG) program funding across all 24 jurisdictions in Maryland to help address eviction prevention needs.</t>
  </si>
  <si>
    <t xml:space="preserve">Governor Hogan Announces $30 Million in Funding For Eviction Prevention Assistance
</t>
  </si>
  <si>
    <t>Evictions on hold from March 17 through April 30th, to resume May 1st</t>
  </si>
  <si>
    <t xml:space="preserve">Over 34,000 households are expected to receive help from the plan’s $100 million funded rental and housing assistance subsidies. The State’s most financially vulnerable households will receive rental assistance in the form of a $500 monthly subsidy or 50% of rent, whichever is lesser, for up to five months from August 1 to December 31. </t>
  </si>
  <si>
    <t>Hawai'i legislators announce plan to use CARES funds to support Hawai'i's unemployed,small business</t>
  </si>
  <si>
    <t>Baltimore County launches coronavirus eviction prevention program</t>
  </si>
  <si>
    <t>Baltimore County will provide an initial $1 million in rental assistance to households at risk of losing their current housing when the state moratorium on evictions is lifted. The county anticipates the average award will cover approximately two months of rent per household.</t>
  </si>
  <si>
    <t>Mississippi Home Corporation has announced RAMP—a program to provide rental assistance to eligible Mississippians in need. MHC will be partnering with MUTEH, Inc., Central MS Continuum of Care, and the Open Doors Homeless Coalition to administer the nearly $8 million program for the State of Mississippi to carry out Emergency Solutions Grant activities authorized by the CARES Act. RAMP will offer homeless prevention services such as short-term rental assistance, rental arrears, and housing stability case management to eligible individuals and families.</t>
  </si>
  <si>
    <t>Mississippi Home Corporation Announces Rental Assistance for Mississippians Program</t>
  </si>
  <si>
    <t>Governor Steve Sisolak announced a new $30 million residential rental assistance program from Coronavirus Relief Funds.</t>
  </si>
  <si>
    <t>Dane County residents hit hard financially by the COVID-19 pandemic may be eligible for rental assistance through the county’s $10 million Dane County CARES Eviction Program. The program aims to assist people who have lost their jobs. It provides rent for up to four months, and helps renters negotiate with landlords. Dane county is using money from the federal CARES Act.</t>
  </si>
  <si>
    <t>Rental Assistance Program open for applications</t>
  </si>
  <si>
    <t>Dane County</t>
  </si>
  <si>
    <t>Eau Claire</t>
  </si>
  <si>
    <t>The Wisconsin Rental Assistance Program or WRAP offers households with lost income due to the COVID-19 pandemic up to $3,000 in rental assistance, which is sent directly to the landlord. WRAP is available for people living in Eau Claire, Jackson, Trempealeau and Buffalo Counties.</t>
  </si>
  <si>
    <t>Rental assistance amid COVID-19 pandemic</t>
  </si>
  <si>
    <t>Santa Monica</t>
  </si>
  <si>
    <t>City Launches Rental Assistance Program for Tenants Impacted by Coronavirus Emergency</t>
  </si>
  <si>
    <t>The county and the Marin Community Foundation each contributed $500,000 to the relief fund on March 24. Of the $1 million, $650,000 was allocated for rental assistance between March 31 and June 30. On April 21, the county and the Marin Community Foundation each contributed an additional $500,000 to the COVID-19 Response Fund. The Board of Supervisors unanimously approved the additional $1 million grant, and directed staff to explore possible additional funding from $938,065 that is available through from the federal Department of Housing and Urban Development under the federal CARES Act that could help the county provide emergency rental assistance through June 30. The Marin County Board of Supervisors recently approved doubling the size of an existing safety net COVID-19 Response Fund for immediate rental assistance for the homeless and those facing homelessness.</t>
  </si>
  <si>
    <t xml:space="preserve">Governor Polis signed a bill that will provide an additional $20 million to help renters and homeowners. Another $5 million has been earmarked for basic utilities. Funding is provided by CARES Act dollars. </t>
  </si>
  <si>
    <t>Governor Lamont Announces Assistance for Renters, Homeowners, and Residential Landlords Impacted by COVID-19 Emergency</t>
  </si>
  <si>
    <t>Governor Ron DeSantis announced $250 million in CARES Act funding for rental and mortgage assistance for Florida families that have been negatively impacted by the COVID-19 pandemic. Administered by Florida Housing Finance Corporation (FHFC), $120 million will be provided in short-term rental assistance for COVID-19 impacted households residing at multifamily rental properties in FHFC’s portfolio. FHFC will reimburse participating properties to subsidize eligible households’ rents for each impacted month. The rental assistance will be available to help pay a household’s rent for eligible months from July through December 2020. The household may be eligible for assistance to pay rent arrearages accrued during the months of April, May and June 2020. A separate pool of $120 million will be released to counties based on a county’s reemployment assistance rate for the determined disbursement period. These funds would be used for rental and homeowner assistance programs such as new construction, rehabilitation, mortgage buydowns, down payment and closing cost assistance, emergency repairs and homeownership counseling for individuals impacted by COVID-19. The allocation also includes $200,000 for technical assistance to local governments.</t>
  </si>
  <si>
    <t>Governor Ron DeSantis Announces $250 Million for Affordable Housing Coronavirus Relief Initiative</t>
  </si>
  <si>
    <t>Las Vegas</t>
  </si>
  <si>
    <t>The city of Las Vegas Housing Assistance Program will provide short-term assistance to city of Las Vegas residents experiencing housing insecurity due to COVID-19-related loss of income. Assistance will be provided for up to three months of reasonable rent/mortgage and be paid directly to the landlord or mortgage company on behalf of eligible program participants.</t>
  </si>
  <si>
    <t>Housing Assistance Program</t>
  </si>
  <si>
    <t>North Las Vegas</t>
  </si>
  <si>
    <t>State and Local Housing Policy and Legislative Responses</t>
  </si>
  <si>
    <t>North Las Vegas has partnered with local nonprofit agencies to offer rental assistance to North Las Vegas residents who are facing a housing crisis or hardship to help prevent eviction or displacement.</t>
  </si>
  <si>
    <t>CITY OF NORTH LAS VEGAS COVID-19 RELIEF PROGRAMS</t>
  </si>
  <si>
    <t>Governor Sisolak announced gradual lift to eviction moratorium, announces rental assistance program</t>
  </si>
  <si>
    <t>The Emergency Housing Assitance Program (EHA) may pay for security deposits, utility connections and arrears, rental payments and arrears, and, in certain emergency situations and upon OCHCD approval, other urgent housing-related costs (e.g., short-term stays in hotels, moving costs), especially for hard-to-house individuals and families, such as large families with children, seniors, people with disabilities, veterans, and people with justice system involvement.</t>
  </si>
  <si>
    <t>Emergency Housing Assistance</t>
  </si>
  <si>
    <t>With $1.55 million from the CARES Act, Knoxville will use the funds for a Housing Assistance Program. The program will try to help close to 570 renter households and 140 homeowners. CARES Act funding will also be used for homeless emergency shelter services and Mobile Meals.</t>
  </si>
  <si>
    <t xml:space="preserve">Governor DeWine signed an executive order that allocated up to $15 million to the Coalition on Homelessness and Housing in Ohio to provide rapid rehousing for individuals experiencing and at risk of homelessness. </t>
  </si>
  <si>
    <t>Directing Expenditure of FY 2021 TANF Funds</t>
  </si>
  <si>
    <t>Rescinded</t>
  </si>
  <si>
    <t>Emergency Executive Order 20-79; Rescinding Emergency Executive Orders 20-14 and 20-73: Modifying the Suspension of Evictions and Writs of Recovery During the COVID-19 Peacetime Emergency</t>
  </si>
  <si>
    <t>Governor Ducey Issued an executive order delaying the enforcement of eviction action orders for renters impacted by COVID-19. The order applies to renters who are quarantining due to COVID-19 or are facing economic hardship as a result of the outbreak. It will remain in effect until October 31, 2020. (July)</t>
  </si>
  <si>
    <t xml:space="preserve">Governor Whitmer signed an executive order that prohibits medical decision-making based on social stigma or stereotypes regarding age, color, criminal history, disability, ethnicity, familial status, gender identity, height, homelessness, immigration status, incarceration status, marital status, mental illness, national origin, poverty, race, religion, sex, sexual orientation, socio-economic status, substance abuse disorder, use of government resources, veteran status, or weight. </t>
  </si>
  <si>
    <t>Affirming anti-discrimination policies and requiring certain health care providers to develop equitable access to care protocols</t>
  </si>
  <si>
    <t>H966 provides $550,000 to Vermont Legal Aid for legal and counseling services to persons who are homeless, or at risk of becoming homeless, as well as those experiencing economic harm because of the pandemic. It also allocates $9 million for grants to nonprofit housing and service organizations for housing and facilities. It provides $25 million for rental assistance and eviction protection and asks the state’s housing authority to develop additional support services and to “better promote upstream homelessness prevention.”</t>
  </si>
  <si>
    <t>H.966</t>
  </si>
  <si>
    <t>Governor Janet Mills announced that she will dedicate $50,000 in funding from the Governor’s Contingent Account to support the work of the Permanent Commission on the Status of Racial, Indigenous and Maine Tribal Populations. The Governor has said that she hopes the Commission will help us more fully understand racial disparities in Maine and how we might begin to address them. The Governor also called on the Legislature to provide a sustained annual source of funding for the Commission to be able to continue its work.</t>
  </si>
  <si>
    <t>Governor Mills Dedicates $50,000 to Permanent Commission on the Status of Racial, Indigenous and Maine Tribal Populations</t>
  </si>
  <si>
    <t xml:space="preserve">SCR-92 recognizes racism as a public health threat and states that racist assumptions and practices have created unhealthy social and physical conditions for people of color. It highlights federal actions that have encouraged homeless shelters to discriminate against transgender people, preventing Black transwomen from accessing critical health services. It affirms the Legislature’s antiracist “Health-in-All” focus, and asks that it be reflected in laws and regulations. </t>
  </si>
  <si>
    <t>SCR-92 Racism as a public health crisis</t>
  </si>
  <si>
    <t>A2516 addresses the shortage of affordable housing in the state and the fact that market rates lead to low-income families occupying housing that they cannot truly afford, accepting this burden out of fear of becoming homeless. Late or missed payments can damage their credit scores and prevent them from competing for access to deeply subsidized housing units. It provides an alternative to credit or risk scores to evaluate eligibility for such housing.</t>
  </si>
  <si>
    <t>S 2516</t>
  </si>
  <si>
    <t>S8643A, a New York bill, requires the commissioners of the state’s Department of Health, Department of Homeless Services and Department of Health and Mental Hygiene to prepare and publish reports on their websites regarding the COVID-19 status of sheltered and unsheltered homeless individuals. These reports are to include counts of those infected, hospitalized and deceased as well as information regarding shelter status and type of shelter.</t>
  </si>
  <si>
    <t>Senate Bill S8643A</t>
  </si>
  <si>
    <t>HD 5199: There shall be a Massachusetts bureau on social and economic equity in recovery and reconstruction. The Commonwealth Health, Economic, Education, and Equity in Recovery and Reconstruction Fund will be administred by the bureau.The fund will support inclusive and new and innovative strategies and efforts to redress disparities in health, economic and educational outcomes by individuals and households residing in disparately impacted communities and may be expended, without further appropriation.</t>
  </si>
  <si>
    <t>An Act the Commonwealth Housing, Economic, Education and Equity in Recovery and Reconstruction</t>
  </si>
  <si>
    <t>Introduced</t>
  </si>
  <si>
    <t>A10848: suspends evictions through September 30, 2020.</t>
  </si>
  <si>
    <t>A10848</t>
  </si>
  <si>
    <t>Jefferson County</t>
  </si>
  <si>
    <t>The JCCEO CSBG Rental Assistance Program is designed to meet the emergency needs of households confronted with a financial crisis due to sudden unemployment, illness of a primary wage-earner, or natural disasters such as Covid-19. This program provides one-time financial assistance to qualifying households to cover such basic expenses as rent, water, or the purchase of prescription medication.</t>
  </si>
  <si>
    <t>CSBG Rental Assistance</t>
  </si>
  <si>
    <t>The County’s Human Services Department will provide emergency assistance for up to a period of three consecutive months to households that meet the income requirements and demonstrate a financial hardship caused by the COVID-19 pandemic.</t>
  </si>
  <si>
    <t>Financial Assistance for Goodyear Residents Impacted by COVID-19</t>
  </si>
  <si>
    <t>Apple Valley</t>
  </si>
  <si>
    <t>Emergency Rental Assistance</t>
  </si>
  <si>
    <t>The Town of Apple Valley as an entitlement Grantee under the Community Development Block Grants (CDBG) Program, receives an annual allocation from the U.S.  Department of Housing and Urban Development (HUD) to use in the implementation of eligible programs. The Town will be using a portion of CDBG entitlement funds to implement an Emergency Rental Assistance (ERA) Program that provides security deposits and short-term rental and/or utility assistance in response to the COVID-19 pandemic. The CDBG-ERA funds will be used to facilitate urgent housing assistance to individuals and households experiencing a financial hardship due to the COVID-19 pandemic.</t>
  </si>
  <si>
    <t>Corte Madera</t>
  </si>
  <si>
    <t>The Corte Madera COVID-19 Housing Assistance Fund was created through a partnership between the Corte Madera Community Foundation and the Town of Corte Madera. This $75,000 fund is intended to assist Corte Madera residents who are currently experiencing a financial hardship due to COVID-19 and the necessary health and safety precautions to comply with shelter-in-place orders issued by the County of Marin and the Governor of the State of California.</t>
  </si>
  <si>
    <t>Grant Application</t>
  </si>
  <si>
    <t>The city of Fresno is offering the first wave of $5 million in grants to help people stay in their homes if they’ve been hurt financially by the coronavirus. Co-sponsored by Councilmembers Esmeralda Soria, Miguel Arias and Luis Chavez, the program offers grants of $1,500 to individuals and $3,000 for families.</t>
  </si>
  <si>
    <t>Fresno Housing Retention Grant</t>
  </si>
  <si>
    <t>Paramount</t>
  </si>
  <si>
    <t>The City has launched its Emergency Mortgage Assistance and Emergency Rental Assistance grant programs with funding from the Federal government’s CARES Act. Paramount homeowners or renters who have lost income because of COVID-19 can get one-time grants to help with mortgage or rent payments or utility payments. To qualify you must meet certain income limits. The maximum amount of assistance is $1,000 per month for two consecutive months. The grant is paid directly to the mortgage company, landlord, or utility company, and does not need to be paid back. Funds are limited. Therefore, a virtual lottery will be conducted on Monday, July 20 at 4:00 p.m. to determine the order that applications will be reviewed. Applications are due at City Hall no later than 5:00 p.m. on Friday, July 17.</t>
  </si>
  <si>
    <t>U.S. Department of Housing &amp; Urban Development (HUD) Grants</t>
  </si>
  <si>
    <t xml:space="preserve">The City of Pasadena’s Housing Department can help. The Emergency Rental Assistance (ERA) Program is available for eligible households financially affected by the COVID-19 pandemic. The ERA can provide grants for up to three (3) months’ worth of past due rent, not to exceed $4,500 total. This program is available to renters residing in Pasadena, who have a current lease, and have notified their landlords of their inability to pay due to the COVID-19 Pandemic. </t>
  </si>
  <si>
    <t>Emergency Rental Assistance Program</t>
  </si>
  <si>
    <t>The City of Santa Clara has launched a program aimed at helping some residents who have fallen behind on rent. Through its Emergency Rental Assistance Program, the city is focused on low-income households at or below 60% of AMI.</t>
  </si>
  <si>
    <t>The Economic Development Department of the City of Santa Cruz is partnering with Community Action Board of Santa Cruz County, Inc. (CAB) to market and administer an Emergency Eviction Prevention Program. The program is funded with HOME funding and CDBG-CV funding. Grant funds may be used to assist with payment of past due rent, incurred on or after April 1st, 2020. A maximum of two month’s assistance is available for those who need it and are eligible with a monthly limit not to exceed $2,500 or a total limit of $5,000 total per household. The emergency housing assistance will be paid directly to the landlord on behalf of the household.</t>
  </si>
  <si>
    <t>Financial Assistance</t>
  </si>
  <si>
    <t>Santa Monica has established a COVID-19 Emergency Rental Assistance Program that will give as many as 300 households as much as $5,000 each to pay for up to three months of rent starting in August. The program is largely funded with $1.6 million from federal Community Development Block Grants funds made available in the CARES Act.</t>
  </si>
  <si>
    <t>The Colorado Department of Local Affairs' Division of Housing has launched the Property Owner Preservation program in response to the COVID-19 pandemic, to allocate up to $20 million in federal CARES Act funds for rental assistance to landlords on behalf of their tenants.</t>
  </si>
  <si>
    <t>Colorado Gov. Jared Polis signs bills to provide additional coronavirus relief</t>
  </si>
  <si>
    <t>City Council on Monday approved adding $5 million to a housing assistance fund that started the year with a budget of $2 million. Nonprofits that have been longtime partners in the program will process applications for the additional funds. The Northeast Denver Housing Center and Brothers Redevelopment Inc. each will administer $2 million in rental assistance.</t>
  </si>
  <si>
    <t>Denver earmarks federal COVID-19 relief funds for rent, utility and mortgage assistance programs</t>
  </si>
  <si>
    <t>Osceola County</t>
  </si>
  <si>
    <t>Rental Assistance</t>
  </si>
  <si>
    <t>ROUND 1: Applications for Monday’s round of rental assistance and mortgage foreclosure prevention will be open for three days using CDBG Grant funding only available to residents of unincorporated Osceola County impacted by the Coronavirus. 
ROUND 2: The next round of housing assistance will tap into $13.2 million of CARES Act funding and will be open to ALL Osceola residents, INCLUDING the cities of Kissimmee and St. Cloud.</t>
  </si>
  <si>
    <t>The Emergency Rental Assistance Program (ERAP) provides a one-time benefit to assist with one month’s rent to Miami-Dade County low and moderate income households experiencing financial hardship as a result of the COVID-19 pandemic.</t>
  </si>
  <si>
    <t xml:space="preserve">The city is providing up tp $5,000 in rental assistance to households that have endured income loss directly related to COVID-19. </t>
  </si>
  <si>
    <t>Pinellas CARES Financial Assistance</t>
  </si>
  <si>
    <t xml:space="preserve">Polk County residents could apply for up to $2,000 per household in assistance for COVID-19-related losses.
The Polk County Commission said the program was close to spending the $35 million allocated for the household grants. They are meeting in August to potentially receive an additional $2 million in CARES Act funding to be able to provide grants of up to $6,000. </t>
  </si>
  <si>
    <t>Polk CARES 2020</t>
  </si>
  <si>
    <t>Hawaii County</t>
  </si>
  <si>
    <t>The County of Hawaii's Office of Housing and Community Development with Hope Services Hawaii Inc. is establishing an Emergency Rent and Mortgage Assistance Program to provide financial assistance to Big Island residents who have been financially impacted.</t>
  </si>
  <si>
    <t>HAWAI'I ISLAND Rent &amp; Mortgage Assistance Fund</t>
  </si>
  <si>
    <t xml:space="preserve">The county will implement the Cook County Rental Assistance Program to provide $20 M in rental assistance payments for residents financially impacted by COVID-19, either for past due payments or upcoming payments. Payments made under this program will be made directly to the landlord. </t>
  </si>
  <si>
    <t>ECONOMIC DEVELOPMENT INITIATIVES TO IMPLEMENT THE COOK COUNTY COVID-19 RESPONSE PLAN: FROM RAPID RESPONSE TO EQUITABLE RECOVERY</t>
  </si>
  <si>
    <t>Michigan City</t>
  </si>
  <si>
    <t>NCCAA was able to offer Covid-19 rental and mortgage assistance during the beginning of the pandemic with funding provided by LaPorte Health Foundation. NCCAA continues to receive funding from the LaPorte County United Way for water bill assistance due to the Covid-19 virus. CSBG CARES ACT funding will be available throughout the year until funding is exhausted.</t>
  </si>
  <si>
    <t>Governor Reynolds has allocated federal CARES Act funds to assist Iowans who have been economically impacted by COVID-19 and may be facing housing hardships. This program will provide short-term relief to income-eligible renters and homeowners who are at risk of eviction or foreclosure.</t>
  </si>
  <si>
    <t>COVID-19 IOWA EVICTION AND FORECLOSURE PREVENTION PROGRAM</t>
  </si>
  <si>
    <t>Louisville's Office of Housing recently announced a COVID-19 eviction prevention fund, supported by $21 million in CARES Act funding. The fund, which will pay for up to three months of rent for households facing COVID-related delinquencies, may only be used to pay rent and will make payments directly to the property owner or landlord.</t>
  </si>
  <si>
    <t>Eviction Prevention COVID-19 Relief Fund</t>
  </si>
  <si>
    <t>The city of Portland is making $500,000 available to help low-income households pay rent and utility bills as a result of the pandemic. The program will provide up to $750 per month for three months of rent assistance, for a total of $2,250, and up to $250 in utility expense assistance, according to a news release.</t>
  </si>
  <si>
    <t>Housing and Community Development</t>
  </si>
  <si>
    <t>Maryland will dedicate $20 million of federal funds for the Eviction Prevention Partnership Program. The funds will be distributed among the state’s 24 jurisdictions for local rental assistance programs.</t>
  </si>
  <si>
    <t>Maryland Eviction Prevention Partnership</t>
  </si>
  <si>
    <t>Frederick County</t>
  </si>
  <si>
    <t>The Religious Coalition, Frederick County, and the City of Frederick, are partnering to provide rental assistance to those directly impacted by COVID-19. If you have experienced a financial hardship due to COVID-19 and are behind on your rent, The Religious Coalition may be able to help you with rental assistance.</t>
  </si>
  <si>
    <t>The Religious Coalition, Frederick County, and the City of Frederick, are partnering to provide rental assistance to those directly impacted by COVID-19.</t>
  </si>
  <si>
    <t>Residential Assistance for Families in Transition (RAFT) &amp; Emergency Rent and Mortgage Assistance (ERMA)</t>
  </si>
  <si>
    <t>Amherst</t>
  </si>
  <si>
    <t>The town has allocated $250,000 for income-eligible residents who have lost their jobs or are making less money because of the COVID-19 pandemic. Recipients must be Amherst residents and cannot live in public housing or receive other government rental assistance. A lottery system is in place to award the money. Preference will be given to families with children under 18.</t>
  </si>
  <si>
    <t>COVID-19 job losses: Amherst allocates $250K for rental assistance</t>
  </si>
  <si>
    <t>Ipswich</t>
  </si>
  <si>
    <t>Ipswich Affordable Housing Trust Fund Board has joined forces with Action Inc. to offer short-term rental assistance for Ipswich residents who have recently lost their jobs, been furloughed or lost significant income due to COVID-19. Participants will pay up to 40% of their income toward their rent, and the program will pay the balance. If participants do not have income, Action Inc. will work with them to help them gain income. It is intended for participants to transition out of the program after six months. If hardships continue past the six-month mark, participants may remain in the program for up to six additional months.</t>
  </si>
  <si>
    <t>Ipswich announces COVID-19 rental assistance program</t>
  </si>
  <si>
    <t>Revere</t>
  </si>
  <si>
    <t>Mayor Brian Arrigo has committed $1 million in federal funds to assist with rental assistance for Revere residents who are at risk of eviction or homelessness due to inability to pay rent.</t>
  </si>
  <si>
    <t>Covid-19 Rental Assistance Program</t>
  </si>
  <si>
    <t>Eviction Diversion Program (EDP)</t>
  </si>
  <si>
    <t>Governor Whitmer signed Executive Order 2020-134 extending the temporary suspension of evictions until July 15 and creating the Eviction Diversion Program, which outlines a process for renters to get fast rental assistance or establish a manageable payment plan to keep Michiganders in their homes. Rental assistance under the Eviction Diversion Program will be available beginning July 16.</t>
  </si>
  <si>
    <t>Lincoln</t>
  </si>
  <si>
    <t>Lincoln will receive $4 million in federal CARES Act funding to help individuals affected by the coronavirus put food on the table, make rent or mortgage payments, and pay utilities, Mayor Leirion Gaylor Baird said Tuesday. $906,000 will be provided to individuals who meet eligibility requirements to make rent or mortgage payments, or to pay utilities. A total of $100,000 of that amount is slated to go to child care workers. Along with the federal funds, the Community Action Partnership is contributing $350,000 for housing and utility assistance, Gaylor Baird said, and the Lincoln Community Foundation is seeking funding from the state's Community CARES program, which is allocating $85 million to charitable providers across the state.</t>
  </si>
  <si>
    <t>COVID-19 Response</t>
  </si>
  <si>
    <t>New York State announces COVID-19 rental assistance program for low-income tenants</t>
  </si>
  <si>
    <t>Governor Cuomo announced an emergency rental assistance program aimed to provide direct aid to low-income tenants who lost income due to the coronavirus pandemic. Through the program eligible households will receive a one time rental subsidy, which will be paid directly to landlords and housing providers. The program is open to households that rent apartments, single-family homes, manufactured homes and manufactured home lots, according to the governor's office.</t>
  </si>
  <si>
    <t>In response to COVID-19, Ohio HFA established the Emergency Housing Assistance Grant Program which is administered through Ohio’s Continua of Care (CoC) and includes the eight large Continua and the Balance of State Continuum of Care. Emergency Rental Assistance (ERA) eligibility includes individuals who are unable to pay their rent and are at risk of imminent eviction. Applicants experiencing job loss, reduction in work hours, and all other economic challenges related to the health crisis are eligible.</t>
  </si>
  <si>
    <t>Emergency Housing Assistance Grant Program</t>
  </si>
  <si>
    <t>The City of Reading Human Relations Commission has started an emergency rental assistance program to help combat homelessness. The program is for those currently homeless or at risk of becoming homeless due to COVID-19 related issues. For those who have experienced a loss of income, the program can assist with rent and utility payments.</t>
  </si>
  <si>
    <t>The Reading Human Relations Commission Launches
Emergency Rental Assistance Program to Prevent Homelessness</t>
  </si>
  <si>
    <t>Providence</t>
  </si>
  <si>
    <t>A $7 million rental assistance initiative is being launched for Rhode Island residents struggling to pay their rent amid the coronavirus pandemic. Gov. Gina Raimondo announced during a news conference that the state is teaming up with the United Way to help up to 7,000 tenants in helping to pay back rent.</t>
  </si>
  <si>
    <t>RI Launches $7M Rental Assistance Initiative</t>
  </si>
  <si>
    <t>The State has set up Housing Help RI as a centralized location for Rhode Islanders to apply for emergency housing assistance. In addition to the $6.5 million the state has made available for assistance to low-income Rhode Islanders, the City of Providence has allocated an additional $769,000 for assistance to Providence residents.</t>
  </si>
  <si>
    <t>COVID-19 Housing Resource Guide</t>
  </si>
  <si>
    <t>Weber</t>
  </si>
  <si>
    <t>Nearly $400,000 has been earmarked to help Weber County residents impacted by COVID-19, out of work and struggling to pay their rent. The funds come thanks to the federal CARES Act, the initiative aimed at helping countering the economic downturn brought on by the COVID-19 pandemic. The money is funneled to Weber County through the state.</t>
  </si>
  <si>
    <t>Covid-19 Emergency Rental Assistance Program</t>
  </si>
  <si>
    <t>Virginia Rent and Mortgage Relief program is partnering with nonprofits and local governments, who will distribute it to eligible households. To qualify, renters or homeowners have to show proof of income — unemployment compensation counts — and a valid lease or mortgage statement, or simply documentation from the landlord confirming they are renting that home. Eligible homeowners and renters can apply and get one-time financial assistance to cover payments back to April 1 and going forward. People applying must have a rent or mortgage at or below 150% of the fair market rent and an income at or below 80% of the median area income. But from now until July 20, households with a gross household income at or below 50% of the area median income will get priority.</t>
  </si>
  <si>
    <t>VIRGINIA RENT AND MORTGAGE RELIEF PROGRAM (RMRP)</t>
  </si>
  <si>
    <t>Charlottesville</t>
  </si>
  <si>
    <t>On June 15, 2020, Charlottesville City Council unanimously voted to create the Housing RELIEF Fund to address the City’s housing crisis due to COVID-19. The Fund provides short-term financial assistance to tenants and landlords in the form of rent payments. The program focuses on providing assistance to the following groups:
1.) Individuals residing in the City who were recently released from a correctional institution (from January 2020 to present).
2.) Individuals and households in the City that are experiencing homelessness, and more specifically, households with children under the age of 18.
3.) Landlords who have rental tenants that reside in the City and are at risk of experiencing homelessness due to nonpayment of rent as a result of the COVID-19 pandemic.</t>
  </si>
  <si>
    <t>City of Charlottesville Housing RELIEF Fund</t>
  </si>
  <si>
    <t>Henrico</t>
  </si>
  <si>
    <t>The Henrico COVID-19 Emergency Rental Assistance (COVID-19-ERA) program provides emergency rental assistance to income-eligible households economically impacted by the COVID-19 pandemic through job loss, furlough, reduction in hours of pay, and/or extraordinary child/adult care expenses as a result of school or daycare closures. Assistance is intended for the purpose of preventing homelessness. Applicants who do not face imminent homelessness because they have financial resources, have made suitable arrangements with their landlord to avoid loss of housing, or who have family, friends, or others who would assist them to avoid homelessness do not qualify for these grants.
Rental assistance is made possible through the use of Community Development Block Grant-CV (CDBG-CV) &amp; Emergency Solutions Grant (ESG-CV) funds. CDBG-CV &amp; ESG-CV funds will be used for emergency rental payments on behalf of income-eligible households economically impacted by the COVID-19 pandemic. Payment will be made directly to a bona fide landlord, property management agent or company to pay down rentals in arrears.
Emergency rental assistance will be made on behalf of eligible Henrico residents while funds last. Payments will be made up to $1,500 per month, for a maximum period of 4 months. Payments are limited to rental arears, delinquency fees, and court costs accrued during the pandemic, and are limited to property currently occupied by the applicant. Payments are limited to one per household.</t>
  </si>
  <si>
    <t>Henrico COVID-19 Emergency Rental Assistance</t>
  </si>
  <si>
    <t>NEW Eviction Rent Assistance Program</t>
  </si>
  <si>
    <t>Gov. Jay Inslee announced the state has distributed nearly $365 million in federal funds to help with COVID-19 response and relief efforts across Washington. This includes $100 million to provide rent assistance to low-income renters at risk of homelessness, using an existing framework to send rent payments directly to landlords.</t>
  </si>
  <si>
    <t>The Spokane Valley City Council will uses its CARES funding to provide roughly $734,000 on rental and mortgage assistance and $260,000 on utility assistance.</t>
  </si>
  <si>
    <t>Spokane Valley to allocate almost $3 million in COVID-19 aid money to housing, business, nonprofits</t>
  </si>
  <si>
    <t>To help its residents avoid eviction and potentially homelessness, Pierce County is offering up to two months of rental assistance for struggling community members. The money is being offered as part of the county's Emergency Rental Assistance Program, though the county says normal restrictions have been loosened to help as many people as possible qualify for the assistance.</t>
  </si>
  <si>
    <t>Ellensburg</t>
  </si>
  <si>
    <t>The Ellensburg City Council approved a contract with HopeSource to manage $75,000 of CARES funding to go toward helping community members who are struggling to pay for housing.</t>
  </si>
  <si>
    <t>City of Ellensburg dedicates $75,000 in CARES funding to rental assistance</t>
  </si>
  <si>
    <t>Milwaukee County has launched a $10 million housing initiative aimed at addressing the needs of county residents who are behind on rent, facing eviction or experiencing short-term difficulty paying their mortgages. This initiative has dedicated $7 million to eviction prevention efforts through a rent assistance program developed in partnership with Community Advocates. Individuals and families who are facing eviction or who are behind on rent and meet eligibility criteria may apply for up to $3,000 per cooperative landlord/tenant stipulated agreement.</t>
  </si>
  <si>
    <t>Rental Assistance Process</t>
  </si>
  <si>
    <t>Racine</t>
  </si>
  <si>
    <t>The City of Racine was awarded two rounds of Emergency Solutions Grants through the CARES Act for homelessness assistance and homelessness prevention. The first round, announced in April, was for $574,928 and a second round of $649,751 was awarded in June. At a June 29 special meeting, the City Council approved the allocation of $396,712 of those funds for Lutheran Social Services to distribute as rental assistance. Of those funds, LSS was allocated $17,447 for case management services and $36,065 as an administration fee.</t>
  </si>
  <si>
    <t>Housing Programs</t>
  </si>
  <si>
    <t>The Department of Housing and Community Development (DHCD) has developed the COVID-19 Housing Assistance Program (CHAP), a $6.2 million program funded by the federal Community Development Block Grant Program (CDBG), to provide rental assistance to low-income renters who are in arrears due to the impact of the COVID-19 public health emergency.</t>
  </si>
  <si>
    <t>COVID-19 Housing Assistance Program</t>
  </si>
  <si>
    <t>Limited Extension of Mortgage Foreclosure and Eviction Relief</t>
  </si>
  <si>
    <t>Franklin County</t>
  </si>
  <si>
    <t>Up to $75,000 can be used to assist Community Shelter Board to with homelessness prevention for pregnant women in Franklin County.</t>
  </si>
  <si>
    <t>SB1008 in Michigan would amend the public health code to require facilities that provide emergency care to develop a policy to guide decision-making when demand for their services exceeds their ability to provide them. Among other stipulations, it prohibits decisions from being made on the basis of stereotypes or social stigma, including homelessness.</t>
  </si>
  <si>
    <t>Senate Bill No. 1008, Public Health Code</t>
  </si>
  <si>
    <t xml:space="preserve">B23-0869 prohibits rent increases during the public health emergency and allows for tenant payment plans to waive late fees and allow for extended repayment of rent without risk of eviction. </t>
  </si>
  <si>
    <t>B23-0869 - Coronavirus Support Second Congressional Review Emergency Amendment Act of 2020</t>
  </si>
  <si>
    <t>Senate Bill S8802</t>
  </si>
  <si>
    <t>Establishes the Rent and Mortgage Cancellation Act of 2020. This bill provides a universal right to relief from housing payments for renters and small homeowners during the COVID-l9 public state emergency designated by the executive of New York State, and establishes protections for individuals exercising that right. This bill also authorizes financial assistance for residential co-ops, affordable housing providers, landlords that can demonstrate hardship resulting from payments cancelled pursuant to this act, and for public housing authorities.</t>
  </si>
  <si>
    <t>The purpose of bill S.2785 is to establish forthwith a statewide right to counsel pilot program for evictions to promote housing stability and prevent homelessness in response to the COVID-19 emergency and upon the lifting of the eviction moratorium, therefore it is hereby declared to be an emergency law, necessary for the immediate preservation of the public safety.</t>
  </si>
  <si>
    <t>An Act promoting housing stability and homelessness prevention through a right to counsel pilot program in Massachusetts in response to the COVID-emergency</t>
  </si>
  <si>
    <t>Local Rent Supplement Program:  the Council approves the long-term subsidy contract 2020-LRSP-01A with NW One Phase I ADU Owner, LP to provide an operating subsidy in support of 65 affordable housing units in an initial amount not to exceed $2,227,392 annually.</t>
  </si>
  <si>
    <t>PR23-0861 - Local Rent Supplement Program Contract No. 2010-LRSP-01A Approval Resolution of 2020</t>
  </si>
  <si>
    <t>A concurrent resolution to declare that racism is a public health crisis in the state of Michigan and commit the Legislature to action and collaboration with the Governor to promote racial equity and justice throughout the entire state of Michigan.</t>
  </si>
  <si>
    <t xml:space="preserve">Senate Concurrent Resolution 0027 </t>
  </si>
  <si>
    <t>HF 160</t>
  </si>
  <si>
    <t>A bill for an act relating to housing; providing eviction and mortgage foreclosure protection and emergency housing assistance during a public health emergency; requiring a report; prescribing penalties for false statements; appropriating money. $100,000,000 in fiscal year 2020 is appropriated from the general fund to the commissioner of the Minnesota Housing Finance Agency for transfer to the housing development fund for the family homeless prevention and assistance program under Minnesota Statutes</t>
  </si>
  <si>
    <t>Bill Status of HR0866
Equitable Economic Land Use</t>
  </si>
  <si>
    <t xml:space="preserve">Establishes State Commission on Minority Affairs within Department of State. Duties include: study matters affecting the social and economic welfare of minorities residing in the State; collect and disseminate information on activities, programs, and essential services available to minorities in the State; study the availability of employment for minorities in this State, and the manner in which minorities are employed; study the ways in which minorities can be encouraged to start and manage their own businesses successfully; study the availability of affordable housing; in cooperation with the Division on Civil Rights, promote public information regarding State laws that prohibit discriminatory practices and procedures pursuant to which aggrieved persons may file complaints or otherwise take action to remedy such discriminatory practices; promote the creation of networks within the business community between majority-owned and minority-owned businesses; advise the Governor on matters relating to minorities and of concern to minorities; and recommend legislation to the Governor. </t>
  </si>
  <si>
    <t>ASSEMBLY, No. 4536</t>
  </si>
  <si>
    <t xml:space="preserve">Kansas Governor Laura Kelly signed an executive order on March 20 to order financial institutions to pause both business and residential evictions as well as mortgage foreclosures until May 1. This has now been extended until September 15, 2020. </t>
  </si>
  <si>
    <t>Governor Andrew Cuomo extended the moratorium on evictions for residential and commercial tenants until September 20th. This does not prohibit new cases from being filed however.  Only “essential applications,” such as serious housing code violations, landlord lockouts, and repair orders, would be permitted to proceed. The announcement amplifies and strengthens the moratorium already in place through the court system.</t>
  </si>
  <si>
    <t>HR 0866: Declares that it is in the best interest of the people of Illinois for the Governor of the State of Illinois to immediately act to shape a narrowly tailored approach to drastically improve the housing stock, communities, and conditions of and for people of African descent residing in the State of Illinois. Urges the Governor of the State of Illinois and the Illinois General Assembly to invoke the principles of the Equitable Economic Land Use Plan of 2020 with all deliberate speed. Declares that funding should be directed toward low-income communities in Illinois for infrastructure, housing, and other economic development. Declares that the Illinois Code of Civil Procedure and the Mortgage Act should be reformed and to further fund existing housing programs that will assist people of African descent in the facilitation of the Equitable Economic Land Use Plan of 2020. Declares that the Menard Correctional Center should revert back to its original name, Southern Illinois Penitentiary.</t>
  </si>
  <si>
    <t xml:space="preserve">Governor J.B. Pritzker issued an executive order pausing enforcement of residential evictions until the emergency declaration is lifted. / The Illinois Commerce Commission (ICC) issued an emergency order requiring a moratorium on disconnections for non-payment and suspension of late fees until September 19, 2020, or until the end of the Governor's COVID-19 state of emergency if it goes beyond September 19. </t>
  </si>
  <si>
    <t>The Maine court system vacated all outstanding warrants for unpaid court fines and fees and for failure to appear for hearings. The 12,420 vacated warrants apply to unpaid fines, unpaid restitution, unpaid court-appointed counsel fees, failure to appear for unpaid fine hearings, and any other failure to appear and pay other fees. State and federal jury trials were suspended but courthouses remain open to the public. The Maine court system announced the postponement of “all in-person court events for family, civil, and criminal dockets” through May 1. The Maine Supreme Judicial Court also canceled oral arguments in April. Cases will be decided based on written briefs.</t>
  </si>
  <si>
    <t>Ventura County's Pandemic Rental Assistance program will provide up to two-months rent for Ventura County residents who make less than 80 percent of the area median income to be eligible. Priority will be given to those with an annual household income that is less than 50 percent of the area median income.</t>
  </si>
  <si>
    <t>H4854 allocates $35 million for loans or grants to speed the creation of low- and moderate-income housing near transportation nodes. It aims to help disadvantaged citizen access employment centers and jobs. Organizations eligible for funds include government, housing authorities, nonprofit organizations, for-profit entities and community development corporations. Priority is to be given to projects in communities most impacted by the pandemic and job losses.</t>
  </si>
  <si>
    <t>An Act Enabling Partnerships for Growth</t>
  </si>
  <si>
    <t>HF2 is put forward in the aftermath of civil disturbances arising from the death of George Floyd. It sets forth measures to help business owners whose property was damaged by protestors as well as those aimed at “structural systems of inequality” that added to civic unrest. It proposes the creation of a metropolitan area redevelopment corporation, led by people of color. The corporation is to identify the impacts of racial discrimination, including access to affordable housing, gentrification and displacement of low-income residents and develop strategies to overcome them.</t>
  </si>
  <si>
    <t>HF 2</t>
  </si>
  <si>
    <t>LR434 points out the state has a shortage of affordable housing in the range of 30,000-50,000 units. It calls on the legislature’s urban affairs committee is to gather information about affordable and low-income housing tax credits, speed the production of detached housing, housing and job development and other matters, and to make recommendations for addressing Nebraska’s affordable housing deficit.</t>
  </si>
  <si>
    <t>LR434 - Interim study to analyze housing throughout Nebraska</t>
  </si>
  <si>
    <t>S8689, a New York bill, notes that few individuals released from prison are being referred to supportive systems, with more than half going straight to homeless shelters after release. Because these individuals are not “chronically” homeless at the time of their lives, they are not eligible for voucher or supportive housing programs. It proposes to link incarcerated persons with nonprofit service providers 45 days prior to their release, facilitating their access to housing and other services and guard against housing discrimination based only on a criminal record.</t>
  </si>
  <si>
    <t>Senate Bill S8689</t>
  </si>
  <si>
    <t>SR76 in New Jersey opposes HUD actions in regard to Affirmatively Furthering Fair Housing rule, which Secretary Ben Carson terminated on July 23, calling it “unworkable” and a “waste of time.” The resolution, by contrast, expresses the view that the AFFH rule helps states receiving HUD funding take “meaningful action” to overcome housing inequities, underscoring that the rule does not dictate what communities must do to develop affordable housing.</t>
  </si>
  <si>
    <t>SENATE RESOLUTION No. 76</t>
  </si>
  <si>
    <t>Governor DeSantis signed an order that suspends any foreclosures or evictions related to nonpayment of rent until October 1st, 2020.</t>
  </si>
  <si>
    <t xml:space="preserve">Gov. Ricketts put a moratorium on evictions for nonpayment of rent until October 14th. </t>
  </si>
  <si>
    <t>DECLARATION OF EMERGENCY DIRECTIVE 031</t>
  </si>
  <si>
    <t>City Council approved the FY 20-21 budget to include an appropriation of $12.3 million to create affordable housing. The allocations come from estimated Affordable Housing Impact Fees, estimated Jobs/Housing Impact Fees, and boomerang funding from redevelopment dissolution</t>
  </si>
  <si>
    <t>Oakland’s Mid-cycle Budget Cuts $14.3 Million from Police Budget, Invests Additional $50 million to Address Racial Disparities</t>
  </si>
  <si>
    <t>City Council approved the FY 20-21 budget to include an appropriation of $49.4 million in homelessness prevention services to support existing shelrers, transitional housing and expanded rapid rehousing support. The allocations come from estimated Affordable Housing Impact Fees, estimated Jobs/Housing Impact Fees, and boomerang funding from redevelopment dissolution</t>
  </si>
  <si>
    <t>Executive Order No. 20-08</t>
  </si>
  <si>
    <t>Executive Order No. 4636</t>
  </si>
  <si>
    <t>Executive Order 4636 sets aside land to be under the control and management of  Kauai County to be used for affordable housing.</t>
  </si>
  <si>
    <t>The executive order directs the state Dept. or Personnel and Administration to lead action on equity, diversity and inclusion. Directives include: 
A. Develop an EDI Universal Policy to guide and direct State agencies in creating long-term strategic plans with the goal of inclusive, anti-discriminatory workplace cultures, and implementing equitable hiring, compensation, and retention practices. 
B. Develop and deliver required training for all employees on equity, diversity, and inclusion, including specific EDI training for State supervisors and executive leaders. 
C. Create a proposal for an operational plan to support, coordinate, and oversee statewide EDI initiatives, and develop a reporting template and procedure for agencies to publicly report progress on, and build trust in, their EDI initiatives.</t>
  </si>
  <si>
    <t xml:space="preserve">D 2020175
EXECUTIVE ORDER 
Directing the Department of Personnel and Administration to Lead State Action on
Equity, Diversity, and Inclusion for the State of Colorado </t>
  </si>
  <si>
    <t>EXECUTIVE ORDER
Creating the Special Eviction Prevention Task Force</t>
  </si>
  <si>
    <t>Executive Order No. 167</t>
  </si>
  <si>
    <t>The North Dakota Parole Board released 56 people in response to COVID-19. The board accelerated a number of releases to ensure enough space would be available in the event of a positive case in a facility.</t>
  </si>
  <si>
    <t>Establishes the Juvenile Justice planning committee which meets quarterly to administer the deliquency prevention grants from the state Dept. of Justice.</t>
  </si>
  <si>
    <t xml:space="preserve">Gov. Abbott release a statement that $171 million in CARES act funding would be used for a new state Eviction Diversion Program. $167 million will be dedicated to rental assistance and $4.2 million will be allocated through the TX Supreme Court to assist with legal aid in eviction court cases. Resources will be distributed to "pilot cities" for the program first and then statewide. </t>
  </si>
  <si>
    <t>Governor Abbott Announces Over $171 Million In CARES Act Funding For Rental Assistance, Texas Eviction Diversion Program</t>
  </si>
  <si>
    <t>Encinitas</t>
  </si>
  <si>
    <t xml:space="preserve">The City of Encinitas COVID-19 Emergency Rental and Utility Assistance Program provides financial assistance to eligible Encinitas households facing financial hardship due to the COVID-19 pandemic. It provides a one-time payment of up to $4,500 for those at or below 80% AMI that are experiencing financil hardship. Funding is provided through the City’s Community Development Block Grant Program and the Coronavirus Aid, Relief and Economic Security (CARES) Act. </t>
  </si>
  <si>
    <t>Emergency Rental and Utility Assistance Program</t>
  </si>
  <si>
    <t>The Glendale City Council made available $2.75 million in COVID-19 Recovery Grants on July 1, 2020 to help those facing financial hardship due to COVID-19.  Funding for the program was allocated through the Coronavirus Aid, Relief, and Economic Security Act (CARES Act) for Community Development Block Grant – Coronavirus (“CDBG-CV”). The Emergency Rental Assistance Program (ERAP-C-19) provides rent payments of up to $750 per month, for two months, to property owners on behalf of an income-eligible household (at or below 80%AMI).</t>
  </si>
  <si>
    <t>To mitigate the impact of COVID-19 on Irvine’s residential renters, the City of Irvine has committed its allocation of approximately $2,000,000 in one-time federal CARES Act funding to create a rental assistance program. The program provides a maximum one-time $1,000 grant to provide 1,000 individuals/households with assistance to pay rent or lease termination fees.</t>
  </si>
  <si>
    <t>Rental Assistance Program to Reopen on September 21</t>
  </si>
  <si>
    <t>In response to COVID-19, The County of San Diego implemented a COVID-19 Emergency Rental Assistance Program to assist eligible San Diego residents who have been financially impacted by the COVID-19 pandemic. The Emergency Rental Assistance Program is expected to serve approximately 8,000 households, with a grant amount of up to $1,500 per month for a maximum of two months to cover emergency rental costs that is distributed directly to the landlord or property management company.</t>
  </si>
  <si>
    <t>County of San Diego COVID-19 Emergency Rental Assistance Program</t>
  </si>
  <si>
    <t>Collier County</t>
  </si>
  <si>
    <t xml:space="preserve">Collier County is dispersing funds received from the CARES Act federal stimulus package. Funds can be used for essential household expenses, such as rent, mortgage, utility bills, and childcare so long as these expenses have not already been paid for by another federal assistance program. Individuals will be awarded one-time assistance up to $10,000 for housing utility. </t>
  </si>
  <si>
    <t>COLLIER CARES RELIEF FUNDING PROGRAM</t>
  </si>
  <si>
    <t>Melbourne</t>
  </si>
  <si>
    <t xml:space="preserve">The City of Melbourne’s Emergency Rental, Mortgage, and Public Utilities Assistance Program provides temporary assistance for up to three months of rent, mortgage and/or public utilities payments. The maximum monthly assistance will be $1,600 and will be made directly to the creditor. The City will use $233,590 from the Coronavirus Aid Relief and Economic Security Act (CARES Act) Community Development Block Grant Coronavirus (CDBG-CV) to fund the program. The Emergency Rental, Mortgage, and Public Utilities Assistance Program is open to City of Melbourne residents with a household income at the time of application that does not exceed 80% of the area median income, adjusted for family size. </t>
  </si>
  <si>
    <t>Rental, Mortgage and Utilities Assistance Program to Help Residents in Need</t>
  </si>
  <si>
    <t>North Miami</t>
  </si>
  <si>
    <t>The City of North Miami is offering rent assistance in the form of a grant with no repayment requirement for 2 months, up to $3,000 to all North Miami residents experiencing hardship and loss of income due to COVID-19.</t>
  </si>
  <si>
    <t>Emergency Tenant-Based Rental Assistance (ETBRA) Program</t>
  </si>
  <si>
    <t>Cobb County</t>
  </si>
  <si>
    <t>In an effort to aid renters adversely affected by COVID-19, qualified renters who currently reside in single family homes, condos, attached homes, and apartments in Cobb County can now apply for up $4,800 to help pay their rent. The funding comes from the $132 million allocated to the county in the federal CARES Act and will be administered by HomeFree-USA, a certified HUD approved non-profit in housing.</t>
  </si>
  <si>
    <t>COBB COUNTY HOMESAVER FOR RENTERS</t>
  </si>
  <si>
    <t>Normal</t>
  </si>
  <si>
    <t>As a part of the Federal C.A.R.E.S. Act, the Town of Normal received a special allocation of Community Development Block Grant (CDBG) funds, referred to as CDBG-CV (Coronavirus), to be used for the sole purpose of preventing, preparing for, and responding to the effects of COVID-19 locally. The Town's CDBG-CV allocation is $246,067. This program is intended to assist income-qualified residents with up to 2 months of assistance, or $2,000 in total in a single year. The current amount of assistance funding available is $100,000.</t>
  </si>
  <si>
    <t>COVID-19-Related Housing Assistance Program</t>
  </si>
  <si>
    <t>Governor Andy Beshear signed Executive Order 2020-700 and Executive Order 2020-751, that dedicated federal Coronavirus Relief Funds in the amount of $15 million for a Healthy at Home Eviction Relief Fund. 
Amount of Assistance:
-90% of back rent owed + up to 2 months future rent if income qualified up to maximum assistance amount.
-Monthly rent subsidy limited to 150% of HUD Fair Market Rent. See table of rent assistance limits.
-If household income is &lt;= 50% AMI: 90% of back rent owed + 2 months future rent; maximum of $6,500.
-If household income is &gt; 50% to &lt;= 80% AMI: 90% of back rent owed + 1 month future rent; maximum of $4,000.
-Tenants may only receive assistance one time.</t>
  </si>
  <si>
    <t>Overview of Healthy at Home Eviction Relief Fund</t>
  </si>
  <si>
    <t xml:space="preserve">Gov. Andy Beshear signed an executive order that will commute the sentences of 186 non-violent felons after screening them for COVID-19 and after making sure that they have a residence where they can be quarantined. If they fail to comply with certain guidelines, their sentences can be reimposed. </t>
  </si>
  <si>
    <t>Lewiston</t>
  </si>
  <si>
    <t>In response to the CARES Act, the City of Lewiston will provide funding for relief of rent, mortgage, or utility payments for up to $1,500 per month for up to 3 months to alleviate financial pressure for eligible low-income households that have lost employment income as a result of the COVID-19 pandemic.</t>
  </si>
  <si>
    <t>CITY OF LEWISTON
EMERGENCY INCOME PAYMENT PROGRAM</t>
  </si>
  <si>
    <t>Mount Rainier</t>
  </si>
  <si>
    <t>The City of Mount Rainier is offering rental/utility and food assistance to residents who have been impacted by the COVID-19 pandemic. Approved residents will receive a one-time payment of $1,000 towards their rental and utility balance. Payments will be sent directly to the landlord or utility company.</t>
  </si>
  <si>
    <t xml:space="preserve">Resident Assistance Programs </t>
  </si>
  <si>
    <t>CT Judicial Branch issued a an immediate stay of all issued executions on evictions and ejectments. Attorney General William Tong has ordered the gas, electric, and water public service shut-off moratorium, except for reasons of public safety, for a 30-day period subject to renewal to ensure all residents may safely remain home during the epidemic. The order also allows tenants to provide consent to apply security deposit money towards a rent balance.
This has been extended through January 1, 2021.</t>
  </si>
  <si>
    <t>Executive Order 9E - PROTECTION OF PUBLIC HEALTH AND SAFETY DURING COVID-19
PANDEMIC – EXTENSION OF EVICTION MORATORIUM</t>
  </si>
  <si>
    <t>Arlington</t>
  </si>
  <si>
    <t xml:space="preserve">The Department of Planning and Community Development is administering an emergency rental assistance program for Arlington households that earn less than 50% of the area median income and who cannot pay rent due to the COVID-19 pandemic and economic crisis. This Program is funded with $400,000 of Community Development Block Grant (CDBG-CV) funds. Eligible households will receive assistance in the form of up to $2,000 per month for no more than three months, payable to their landlord. </t>
  </si>
  <si>
    <t>Community Development Block Grant COVID-19 Assistance Programs</t>
  </si>
  <si>
    <t>Ashland</t>
  </si>
  <si>
    <t>This program has been created and funded by the CARES Act funds granted to the Town of Ashland and the Affordable Housing Trust utilizing their Community Preservation Act funds. Applications will be processed on a rolling basis starting on July 7, 2020. Applicants are eligible for: Up to three months rental or mortgage assistance (Assistance can be used to pay current and future rent, or pay rent that is past due since 3/1/2020)
Amounts available are:
$1200 / month for an efficiency/studio
$1400 / month for a 1-bedroom
$1600 / month for a 2-bedroom
$2000 / month for a 3+-bedroom</t>
  </si>
  <si>
    <t>COVID-19 Rental/Mortgage Assistance Program</t>
  </si>
  <si>
    <t>Under the governor’s direction, the state Department of Social and Health Services will expand eligibility for the Family Emergency Assistance Program to include families without children. This has been extended through November 9, 2020 or through the end of the declared state of emergency.</t>
  </si>
  <si>
    <t>Department of Social and Health Services - Family Emergency Assistance Program</t>
  </si>
  <si>
    <t>Governor Roy Cooper announced $175 million to help North Carolinians with rental and utility payment support in the wake of the COVID-19 pandemic. Eviction Prevention and Utility Payments: Approximately $94 million of the funding will be disbursed by the North Carolina Office of Recovery and Resiliency (NCORR) to support rental and utility payments and prevent evictions for those with a demonstrated need. The funding will be distributed to eligible community agencies around the state that will work directly with North Carolinians on an application and disbursement process. The fund includes $28 million from federal Community Development Block Grant – Coronavirus (CDBG-CV) funding and the remaining $66 million from CARES Act Coronavirus Relief Fund (CRF) money. 
Crisis Response and Housing Stability: About $53 million of the funding is designated for the Emergency Solutions Grant-Coronavirus (ESG-CV) Program through the North Carolina Department of Health and Human Services (NCDHHS). The federal ESG-CV money is intended for families experiencing homelessness or who face a more immediate risk of homelessness and will be distributed by similar community agencies handling NCORR’s program.</t>
  </si>
  <si>
    <t>Governor Cooper Announces $175 Million to Assist with Rental, Utility Payments for North Carolinians</t>
  </si>
  <si>
    <t>Port Angeles</t>
  </si>
  <si>
    <t>The City has allocated $561,900 toward Utility, Rental, and Mortgage assistance for residents in need at this time. This funding has been allocated by City Council from City funding and received from CARES funding passed through from Clallam County.</t>
  </si>
  <si>
    <t>Utility, Rent and Mortgage Payment Assistance and Donation Information</t>
  </si>
  <si>
    <t>Spokane City</t>
  </si>
  <si>
    <t>To better meet the needs of tenants, landlords, and property owners, the City of Spokane and Spokane Workforce Council has worked to streamline the guidelines for accessing CARES Act funding for much-needed rental assistance. The CARES Act will now pay 100% of the overdue rent for up to four months and there will not be any requirements that property owners must live within City limits or have to forgive 20% of the overdue rent for the period covered by the program.</t>
  </si>
  <si>
    <t>COVID-19 Rental Assistance Program</t>
  </si>
  <si>
    <t>CoC, County, Healthcare for the Homeless, and City of Oakland are working on investigating potential cases, bringing additional hygiene supplies, distributing masks and thermometers. This team has secured four hotels and helped 339 people move into rooms under Project Roomkey. Alameda County is securing rooms through Operation Comfort for people experiencing homelessness who tested positive, are experiencing symptoms, or were exposed to COVID-19. The County is also referring people who are 65 or older or are medically fragile to Operation Safer Ground, a non-congregate shelter with site counselors and food.</t>
  </si>
  <si>
    <t>Governor Polis issued guidance to state and local detention centers in Colorado. Among other actions, the document instructs facilities to work with courts, law enforcement, prosecutors, and defense attorneys to reduce the number of individuals in detention safely.</t>
  </si>
  <si>
    <t>Evictions and foreclosures are suspended through April 3rd.</t>
  </si>
  <si>
    <t>Governor Ige issued an executive order to allocate $50 million in funds from the Emergency and Budget Reserve Fund to rental and mortgage assistance or for financial counseling/mediation services for those facing eviction or foreclosure. These funds are only available for amounts due betweeen Mar. 1 and Dec. 28.</t>
  </si>
  <si>
    <t>The Council heard the Introduction and Possible Adoption of an Ordinance to Amend City Code Chapter 18, Titled‚Rental Facilities and Landlord-Tenant Relations; to Prohibit the Increase of Certain Rent Above Rent Guidelines During and After a Certain Declared Emergency; to Prohibit Certain Notices to Tenants; to Require Certain Notices to Tenants; and to Generally Amend City Law Concerning Rental Facilities and Landlord-Tenant Relations. OR Introduction and Possible Adoption of an Ordinance to Amend City Code Chapter 18, Titled‚Rental Facilities and Landlord-Tenant Relations; to Prohibit the Increase of Certain Rent During and After a Certain Declared Emergency; to Prohibit Certain Notices to Tenants; to Require Certain Notices to Tenants; and to Generally Amend City Law Concerning Rental Facilities and Landlord-Tenant Relations.</t>
  </si>
  <si>
    <t>Governor Whitmer signed an executive order instituting temporary COVID-19 protocols regarding the Michigan Department of Corrections. In order to mitigate the risk of the virus in county jails, the order authorizes local jails to consider the early release of certain populations, including: Elderly people with chronic conditions; People who are pregnant; People nearing the end of their sentence; Those incarcerated for a traffic violation, failure to appear, or failure to pay; and People with behavioral health problems who can be diverted to treatment.</t>
  </si>
  <si>
    <t>$30,000,000 in fiscal year 2020 would be appropriated from the general fund to the commissioner of the Minnesota Housing Finance Agency for transfer to the housing development fund for the family homeless prevention and assistance program.</t>
  </si>
  <si>
    <t>The Council heard an ordinance relating to the use of eviction records; regulating the use of eviction history in residential housing; prohibiting landlords from considering evictions related to COVID-19 during and after the civil emergency.</t>
  </si>
  <si>
    <t>Status</t>
  </si>
  <si>
    <t>Summary</t>
  </si>
  <si>
    <t>CDBG</t>
  </si>
  <si>
    <t>ESG</t>
  </si>
  <si>
    <t>TDHCA has prioritized two ESG activities for ESG CARES second allocation that include: rapid re-housing and homelessness prevention. Under ESG CARES second allocation, rental assistance can be provided for up to 12 months, with an additional six months' worth of rental arrears and late fees in a one-time payment, as applicable. Another funding category that is closely related to rental assistance under ESG is called housing relocation and stabilization services, which can include rental application fees, security deposits, last month's rent, utility deposits, utility payments, moving costs, and landlord incentives. Both rental assistance and housing relocation and stabilization services are covered under the broad categories of rapid re-housing and homelessness prevention.</t>
  </si>
  <si>
    <t>Proposed Uses of CDBG Funding</t>
  </si>
  <si>
    <t>Beverly Hills</t>
  </si>
  <si>
    <t>Beverly Hills COVID-19 Rental Assistance Program</t>
  </si>
  <si>
    <t>The Beverly Hills City Council unanimously voted to approve a rent subsidy program for tenants impacted by COVID-19 at the Sept. 15 Regular Meeting. Councilmembers spent well over an hour crafting the final details of a $715,000 program that will directly pay landlords in an effort to stave off a potential wave of evictions stemming from the economic ripples of the pandemic. Each househould will receive up to $3,000 for up to 3 months.</t>
  </si>
  <si>
    <t>The City of Gilroy, in partnership with St. Joseph’s Family Center, is providing Community Development Block Grant CARES Act funding (CDBG-CV) towards a rental assistance program. These funds are designed to help extremely low-income tenants with paying a portion of their rents in order to avoid eviction.</t>
  </si>
  <si>
    <t>Gilroy Rental Assistance Program</t>
  </si>
  <si>
    <t xml:space="preserve">The City has launched its Emergency Mortgage Assistance and Emergency Rental Assistance grant programs with funding from the Federal government’s CARES Act. Paramount homeowners or renters who have lost income because of COVID-19 can get one-time grants to help with mortgage or rent payments or utility payments. To qualify you must meet certain income limits. The maximum amount of assistance is $1,000 per month for two consecutive months. </t>
  </si>
  <si>
    <t>Emergency Mortgage Assistance and Emergency Rental Assistance</t>
  </si>
  <si>
    <t>The San Leandro Emergency Rental Assistance Program will provide rental assistance payments for up to three months on behalf of qualifying San Leandro renters who have lost income due to COVID-19 and meet federal low-income requirements. The program is being funded with $451,972 in one-time Community Development Block Grant-Coronavirus (CDBG-CV) funds. The application period opens on September 8, 2020 and will close on September 30, 2020.</t>
  </si>
  <si>
    <t>San Leandro Emergency Rental Assistance Program</t>
  </si>
  <si>
    <t>San Marcos</t>
  </si>
  <si>
    <t>San Marcos renters who have experienced financial setbacks due to COVID-19 may be eligible for the City's new COVID-19 Rental Assistance Program. The program, funded with $1,051,615 of Community Development Block Grant (CDBG) resources, will provide immediate financial aid to residents experiencing a loss of income directly related to COVID-19. It provides rental assistance (up to $10,000, total per household, per application for six (6) months of partial or full rent.) to residents whose incomes are at or below 80 percent of the Area Median Income, who were current with rent payments prior to March 16, 2020 and who are otherwise in good financial standing.</t>
  </si>
  <si>
    <t>Santa Barbara</t>
  </si>
  <si>
    <t>The COVID-19 Emergency Rental Assistance program is providing limited rental assistance to eligible County of Santa Barbara residents that have experienced a loss of income due to the COVID-19 pandemic and can demonstrate the need for rental support.</t>
  </si>
  <si>
    <t>COVID-19 Emergency Rental Assistance program</t>
  </si>
  <si>
    <t>Funding</t>
  </si>
  <si>
    <t>Total CDBG-CV allocation: $141,846,258</t>
  </si>
  <si>
    <t>1.  Urgent Need Rental Assistance: $105,917,020 ($40,000,886 for non-entitlement cities and counties) statewide to pay for up to six months of rental assistance, including arrears. Rental assistance will be made directly to the landlord or property owner.
2.  Food Bank Distribution: $21,000,000 to serve as a state match to cover pandemic-related food bank distribution expenses incurred during early 2020 by the Texas Department of Emergency Management.
3.  Providers of Persons with Disabilities Relief Assistance: $5,000,000 to support relief assistance to providers of persons with disabilities covering the costs of activities like salaries, sheltering residents outside of group homes when quarantining, and Personal Protective Equipment (PPP).
4.  TDHCA Administration and Technical Assistance (up to 7%): $9,929,238, including $500,000 dedicated to planning broadband services in areas with unmet needs in the State of Texas.</t>
  </si>
  <si>
    <t xml:space="preserve">$64.5 million in Emergency Solutions Grant </t>
  </si>
  <si>
    <t xml:space="preserve">The CDBG Target of Opportunity Grant Programs provide funding for “target of opportunity” projects. The goal of these programs is to provide a means to fund worthwhile "target of opportunity" projects and activities that do not fit within existing program structures, and to provide supplemental resources to resolve immediate and unforeseen needs The CDBG Target of Opportunity Grant Programs includes the Economic and Community Development Program, Downtown Revitalization Program and a set-aside for the New Horizons Fair Housing Program. </t>
  </si>
  <si>
    <t>Draft Program Year 2020
Ohio Consolidated Plan
Annual Action Plan</t>
  </si>
  <si>
    <t>DELAWARE COMMUNITY DEVELOPMENT BLOCK GRANT PROGRAM
AMENDED PROGRAM GUIDELINES FOR FY2020</t>
  </si>
  <si>
    <t>According to an executive order from the govervor, Two million six hundred thousand dollars ($2,600,000) for FY 2020-21 shall be transferred from the CARES Act Fund to DOLA to supplement the funding provided by HB 20-1410 for housing assistance to support those who have been economically impacted by COVID-19.</t>
  </si>
  <si>
    <t>Amending Executive Orders D 2020 070 and D 2020 081 Directing the Expenditure of Federal Funds Pursuant to the Coronavirus Aid, Relief, and Economic Security Act of 2020</t>
  </si>
  <si>
    <t>Equity</t>
  </si>
  <si>
    <t xml:space="preserve">EXECUTIVE ORDER NO. 188 </t>
  </si>
  <si>
    <t>COVID Relief Funding CDBG Budget $7,022,416</t>
  </si>
  <si>
    <t xml:space="preserve"> Eligible activities under the CV19 Funding include housing payments of up to a total of $1,200 per month. This amount can include utility payments such as electricity, heating fuel, and sewer/water costs. Emergency housing payments may not duplicate funds received through other federal, state, or local programs.</t>
  </si>
  <si>
    <t>CDBG CV19 PROGRAM STATEMENT</t>
  </si>
  <si>
    <t>$16,144,887 (round 2)</t>
  </si>
  <si>
    <t>COMMUNITY DEVELOPMENT BLOCK GRANT PROGRAM-COVID FUNDING</t>
  </si>
  <si>
    <t xml:space="preserve">The state estimates that round 2 funds will provide 1,750 households with up to 3 months emergency rental assistance funds through Dec. 31, 2020. </t>
  </si>
  <si>
    <t>CDBG-CV SUBSTANTIAL AMENDMENT #2</t>
  </si>
  <si>
    <t>$43,253,787 for the CDBG-CV fund from two allocations; $19,651,876 has been allocated to 36 non-entitlement jurisdictions</t>
  </si>
  <si>
    <t>CDBG-CV funds will be able to support a variety of activities including but not limited to:
 Rental and mortgage assistance for eligible households ($10 million left)
 Small business assistance
 Micro Enterprise assistance
 Public Social Services – particularly those directed to, but not limited to, senior services,
homelessness prevention, food provision, emergency assistance and domestic violence
services
 Infrastructure/Construction projects that directly contribute to addressing COVID-19
related issues
 Other eligible activities that directly prevent, prepare for and respond to coronavirus</t>
  </si>
  <si>
    <t>$20,500,953 (Phase 1) for “non-entitlement” communities &amp; $41,987,422 (Phase 2)</t>
  </si>
  <si>
    <t xml:space="preserve">This Executive Order creates a temporary Eviction Prevention task force that will examine the current housing instability in Colorado due the economic impact of COVID-19. The task force shall work within the Dept. of Local Affairs. The task force shall develop recommendations on how to address housing instability due to COVID-19 in Colorado and report these recommendations to the Governor within thirty (30) days of the date of its first meeting. </t>
  </si>
  <si>
    <t>CARES, CDBG-CV</t>
  </si>
  <si>
    <t>CDBG-CV, CRF, CARES</t>
  </si>
  <si>
    <t>Governor Lamont announced $10 million rental assistance program for Connecticut residents impacted by COVID-19, administered through the Department of Housing, which will provide payments to landlords on behalf of approved tenant applicants, with a priority on lower-income households who have been denied unemployment insurance; $5 million for eviction prevention to help renters who were in the process of eviction before the declaration of the COVID-19 public health emergency; $4 million in rapid rehousing funds to help people pay costs like security deposits and initial rent to exit homelessness to housing, administered by the Department of Housing; $2.5 million rental assistance program for those who are ineligible for emergency assistance through the federal CARES Act, including those who are undocumented, administered by the Department of Housing; and $1.8 million in funding for reentry and rehousing assistance for people exiting incarceration, administered by the Connecticut Coalition to End HomelessnessGovernor Lamont announced $10 million rental assistance program for Connecticut residents impacted by COVID-19, administered through the Department of Housing, which will provide payments to landlords on behalf of approved tenant applicants, with a priority on lower-income households who have been denied unemployment insurance; $5 million for eviction prevention to help renters who were in the process of eviction before the declaration of the COVID-19 public health emergency;$4 million in rapid rehousing funds to help people pay costs like security deposits and initial rent to exit homelessness to housing, administered by the Department of Housing; $2.5 million rental assistance program for those who are ineligible for emergency assistance through the federal CARES Act, including those who are undocumented, administered by the Department of Housing; and $1.8 million in funding for reentry and rehousing assistance for people exiting incarceration, administered by the Connecticut Coalition to End Homelessness</t>
  </si>
  <si>
    <t>CARES, CDBG-CV, Donations, HOME</t>
  </si>
  <si>
    <t>Simi Valley</t>
  </si>
  <si>
    <t>The City of Simi Valley Emergency Rental Assistance (ERA) Program will assist eligible, low-income City residents impacted by the Coronavirus (COVID-19) to meet their housing expenses. The grant fund’s intended use is for residential rent payments to stabilize housing for low-income residents most at risk due to loss of employment, reduction of work hours, inability to work due to child care needs, care needs of family, elderly, or significant costs from COVID-19.</t>
  </si>
  <si>
    <t>City of Simi Valley Emergency Rental Assistance Program</t>
  </si>
  <si>
    <t>HOME, CARES, CDBG-CV</t>
  </si>
  <si>
    <t>In an effort to help lessen the outbreak’s economic impacts, the program will provide emergency assistance to renters who are at imminent risk of eviction as a result of shutdowns, closures, layoffs, reduced work hours, or unpaid leave due to the COVID-19 health crisis.</t>
  </si>
  <si>
    <t>Louisiana Emergency Rental Assistance Program</t>
  </si>
  <si>
    <t>HOME, CARES, CDBG-CV, ESG-CV</t>
  </si>
  <si>
    <t>Baltimore County will provide up to $2 million in rental assistance for residents who have lost income as a result of the pandemic and are at risk of losing their housing. They will begin accepting applications on October 6. The County has partnered with community-based organizations to administer phase two of the program, which is funded by Community Development Block Grant–Corona Virus (CDBG-CV) funds.</t>
  </si>
  <si>
    <t>Baltimore County COVID-19 Eviction Prevention Program PHASE 2</t>
  </si>
  <si>
    <t>CDBG-CV</t>
  </si>
  <si>
    <t xml:space="preserve">Managed by Brookline Center staff in partnership with the Brookline Community Foundation and the Town of Brookline, Safety Net offers confidential, individualized, and integrated support that prevents crises from worsening, improves quality of life, and helps people maintain stability during emergencies. </t>
  </si>
  <si>
    <t>Brookline</t>
  </si>
  <si>
    <t>The Safety Net Fund</t>
  </si>
  <si>
    <t>Local/City Housing Fund/ Housing Authority, CARES, CDBG-CV</t>
  </si>
  <si>
    <t>CARES, ESG-CV, CDBG-CV, CRF</t>
  </si>
  <si>
    <t>CARES, CDBG-CV, CRF</t>
  </si>
  <si>
    <t>CARES, ESG-CV, CDBG-CV</t>
  </si>
  <si>
    <t>The Austin Tenant Stabilization Program will administer up to $3,000 per year in rental assistance as well as eviction prevention support and tenant relocation services to low-income households through selected nonprofit organizations. The program will serve households earning up to 60% of the median family income. Managed by the Austin Housing Finance Corporation and funded by the city’s housing trust fund.</t>
  </si>
  <si>
    <t>After distributing $1.2 million in May, the City of Austin’s Neighborhood Housing and Community Development Department announced Tuesday $17 million will be available to help renters in the second round of the Relief of Emergency Needs for Tenants (RENT) Program.</t>
  </si>
  <si>
    <t>Austin RENT 2.0</t>
  </si>
  <si>
    <t>CARES, CDBG-CV, CRF, Other</t>
  </si>
  <si>
    <t xml:space="preserve">The Rental Assistance Program has been funded by the CARES Act and is designed to assist Utah renters whose ability to pay rent has been negatively impacted by COVID-19, but whose needs are not being met by other programs. Primarily this funding should assist those who are not eligible for unemployment benefits. </t>
  </si>
  <si>
    <t>Utah Rental Assistance Program</t>
  </si>
  <si>
    <t>CARES, CDBG-CV, CSBG, ESG-CV, HOME</t>
  </si>
  <si>
    <t>The RAFT Program is a homelessness prevention program funded by the Department of Housing and Community Development (DHCD). RAFT provides short-term financial assistance to low-income families who are homeless or at risk of becoming homeless. The Emergency Rental and Mortgage Assistance (ERMA) program will provide direct funding to eligible households who have suffered financial hardship during the State of Emergency put in place to combat the spread of COVID-19.
ERMA will expand eligibility for rental and mortgage assistance to more low-income households who have been impacted by the crisis by adjusting the income threshold beyond the state’s traditional Residential Assistance for Families in Transition (RAFT) program. This includes households within the 50-80% range of Area Median Income (AMI). Like the RAFT program, ERMA will provide up to $4,000 for eligible households to pay rent or mortgage payments in arrears going back to payments due April 1, 2020. Beginning July 1, applicants can reach out to the eleven agencies that administer RAFT on the state’s behalf, this includes the nine Housing Consumer Education Centers, as well as LHAND and the Central Massachusetts Housing Alliance.</t>
  </si>
  <si>
    <t>The City announced $29 million in rental assistance will be made available to households impacted by the COVID emergency.  Will provide up to 3 months of rent assistance to eligible households, prioritizing rent payments due on and after October 1st as rent moratorium allows rent accrued through Sept 30 to be deferred through March 2021.  Expected to help more than 4,300 households between now and December 31st.</t>
  </si>
  <si>
    <t>COVID-19 Rent Relief Program</t>
  </si>
  <si>
    <t>CARES, CDBG-CV, Other</t>
  </si>
  <si>
    <t>The governor extended the eviction moratorium throuhg December 31st; qualifying residents are those that are recipients of HOPE funding as well as those that meet eligibility criteria aligned with the CDC eviction moratorium guidelines.</t>
  </si>
  <si>
    <t>EXECUTIVE ORDER NO. 171
ASSISTING NORTH CAROLINIANS AT RISK OF EVICTION</t>
  </si>
  <si>
    <t>Oregon Governor Kate Brown issued an executive order placing a temporary moratorium on residential evictions for nonpayment in light of the public health emergency caused by COVID-19 in the state. The order was extended through December 31, 2020.</t>
  </si>
  <si>
    <t>The Juneau Assembly recently appropriated $3 million of federal CARES Act funding to help qualifying households pay for your mortgage, rent, and utilities, including heating and fuel. Catholic Community Service is administering the program. Applications will be available here starting at 8 a.m. on Tuesday, Oct. 27.  The COVID-19 Housing Assistance Grant Program allows an individual or household to apply for up to $2,000 in housing assistance – up to $1,500 for rent or mortgage, and/or $500 for utility bills.</t>
  </si>
  <si>
    <t>CBJ COVID-19 Housing Assistance Grant Program</t>
  </si>
  <si>
    <t>Petersburg</t>
  </si>
  <si>
    <t>Petersburg Indian Association is rolling out more assistance programs for tribal members as well as other residents in town through federal Cares Act funding. The programs include utility, rental, mortgage, and food assistance to tribal members as well as moorage assistance at the harbors for all residents who qualify.</t>
  </si>
  <si>
    <t>Petersburg COVID-19 General Assistance</t>
  </si>
  <si>
    <t>COVID-19 Relief Related Public Service Activities for Low/Mod Income and Limited Clientele Persons. The Public Service must:
1. Provide a new service for Coronavirus needs; or
2. Provide a quantifiable increase in the level of service for Coronavirus needs above that which has been provided by the unit of local government.
3. Eligible COVID-19 Relief Related Public Services:
a. Homeless Assistance: Emergency sheltering vouchers for homeless persons to stay in hotels/motels;
b. Homelessness Prevention Assistance: Up to three months rental and/or utility assistance for low- and moderateincome households who have lost their jobs due to COVID19.
c. Senior/Elderly Food Programs: Food Purchase, Delivery, New Staff</t>
  </si>
  <si>
    <t>Pima County has launched an Eviction Prevention Program to help individuals and families who’ve been affected by the COVID-19 Pandemic and are facing eviction.  The program, which was announced in late August, will run through the fall, helping to disburse funds acquired through the CARES Act. Funding is being administered by the Community Investment Corporation with a number of other local nonprofit service agencies assisting tenants and landlords in processing their requests.</t>
  </si>
  <si>
    <t>Pima County Eviction Prevention Program</t>
  </si>
  <si>
    <t>Arkansans who have lost income because of the covid-19 pandemic can apply for federally funded rental assistance through nonprofits, local governments and other organizations that provide homelessness prevention and rehousing services, the state Department of Human Services announced. The state has received $23 million from the federal Coronavirus Aid, Relief and Economic Security (CARES) Act to serve residents who are homeless or at risk of becoming homeless. Those services include homelessness prevention, rapid rehousing, street outreach and emergency shelter, according to a department news release.</t>
  </si>
  <si>
    <t>Arkansas Rental Assistance</t>
  </si>
  <si>
    <t xml:space="preserve">The Costa Mesa CDBG-CV Rental Assistance Program provides residents experiencing a loss of income, directly related to COVID-19, with up to $6,000 per household or a maximum three (3) months full rent, whichever is less. Residents with incomes at or below 80% Area Median Income (AMI) who were current with rent payments prior to March 31, 2020, and who are otherwise in good financial standing may qualify. </t>
  </si>
  <si>
    <t>The City Council heard an Initiative by Mayor James T. Butts, Jr., recommending adoption and approval of Executive Order No. 20-04 extending eviction protections to residential and commercial tenants through June 30, 2020.</t>
  </si>
  <si>
    <t>Through federal Coronavirus relief funding, this program will provide emergency rental assistance to renters in the City of Sacramento and the unincorporated County of Sacramento who have experienced a loss or reduction of employment as a result of the COVID-19 pandemic. Applicants are eligible to receive up to $4,000 in rental assistance via payment made directly to the landlord.</t>
  </si>
  <si>
    <t>Sacramento Emergency Rental Assistance (SERA) Program</t>
  </si>
  <si>
    <t>The City of Miami Beach has received Coronavirus Relief Funds from the Florida Housing Finance Corporation (FHFC) to provide emergency rent, mortgage, and maintenance/HOA fees assistance to households adversely impacted by COVID-19. Miami Beach households earning up to 120% Area Median Income ($58,440 for a household of one) can apply online via the City’s website for help with rental assistance, mortgage payments, and housing re-entry.</t>
  </si>
  <si>
    <t>Miami Beach COVID-19 Assistance</t>
  </si>
  <si>
    <t>Springfield</t>
  </si>
  <si>
    <t>The City of Springfield will distribute around $400,000 in federal relief funding to eligible tenants. To qualify, you must live in the city limits and meet the income guidelines, and show documentation that you have suffered income loss because of the pandemic. The maximum award is $1,000.</t>
  </si>
  <si>
    <t>Springfield Rental Assistance</t>
  </si>
  <si>
    <t xml:space="preserve">The Indiana Housing and Community Development Authority (IHCDA) will re-open its rental assistance portal on October 13, 2020 at 9:00 am Eastern Standard Time (EST). The portal will be used to accept applications for the Emergency Solutions Grant CARES Act (ESG-CV) rental assistance program.The program can provide you up to 6 months in rental assistance to help cover past due and ongoing monthly rent payments. </t>
  </si>
  <si>
    <t>Indiana COVID-19 ESG-CV Rental Assistance Program</t>
  </si>
  <si>
    <t>Kansas Eviction Prevention Program</t>
  </si>
  <si>
    <t xml:space="preserve">The Kansas Eviction Prevention Program (KEPP) provides rental assistance to households that have missed one or more rent payment(s) as a result of the COVID pandemic. Landlords and tenants apply via a joint online process. If the application is approved, the landlord receives rental assistance funds directly from KEPP, applies KEPP funds to the tenant’s account, and waives late fees for the month(s) assistance was awarded. Approved tenants are eligible for a maximum of nine months of assistance, not to exceed $5,000 per household. </t>
  </si>
  <si>
    <t>Ramsey County</t>
  </si>
  <si>
    <t>The Ramsey County Landlord Assistance program provides one-time grants to landlords for up to $20,000 per rental unit for tenants' missed rent payments and/or unpaid fees from March 1, 2020 through December 30, 2020 due to COVID-19.</t>
  </si>
  <si>
    <t>Ramsey County Landlord Assistance</t>
  </si>
  <si>
    <t>The Mississippi Legislature passed a bill to divert $20 million in Coronavirus Aid, Relief, and Economic Security (CARES) Act funds, which had been earmarked for small businesses, to residential and commercial landlords who have lost rent revenue after various eviction moratoriums. Mississippi Development Authority will administer the grants, up to $30,000, and no more than 25% may go to commercial properties.</t>
  </si>
  <si>
    <t>Mississippi Landlord Assistance Program/Rental Assistance Grant Program</t>
  </si>
  <si>
    <t>Passed</t>
  </si>
  <si>
    <t>The 8 development districts in Nebraska have CARES Act funds available to landlords who have documented financial loss due to the COVID-19 pandemic &amp; lease to low-to-moderate income tenants. Up to $2,500 can be requested for lost rent or utility payments due to a disruption in income or an increase in expenses as a result of the COVID-19 pandemic. Up to $10,000 can be requested for minor rental unit repair or rehabilitation for items such as a roof, furnace or water heater replacement.</t>
  </si>
  <si>
    <t>NEBRASKA CARES ACT FUNDS FOR LANDLORDS</t>
  </si>
  <si>
    <t>Henderson</t>
  </si>
  <si>
    <t>Henderson CARES Housing Assistance Program (Henderson CHAP)</t>
  </si>
  <si>
    <t>The Henderson CARES Housing Assistance Program  (or Henderson CHAP) serves residents of Henderson who have suffered substantial financial hardship and now lack sufficient income or resources available to pay their housing costs because of the COVID-19 emergency or the response to that emergency. The program allows for payment of rent, mortgage, and utilities arrears back to March 1, 2020, as well as utility deposits, security deposits and emergency lodging. Payments for services are made directly to a landlord, mortgage company and/or utility company.</t>
  </si>
  <si>
    <t xml:space="preserve">The Interagency Task Force to Combat Youth Bias released a report with 27 recommendations to reduce bias incidents. The Attorney General; the Department of Law &amp; Public Safety’s Division on Civil Rights, Division of Criminal Justice, Division of State Police, and Juvenile Justice Commission; the Department of Children &amp; Families; the Department of Education; the Office of Homeland Security &amp; Preparedness; and the Office of the Secretary of Higher Education, shall take necessary and appropriate steps to implement  recommendations contained in the report of the Interagency Task Force that these Executive Branch departments and agencies currently have legal authority to implement. </t>
  </si>
  <si>
    <t>The State of New Jersey has opened a new COVID-19 Housing Assistance Program. The program is available until December 2020 to assist New Jersey households unable to pay their rent/mortgage due to COVID-19 impacts for any time since March 2020. The COVID-19 Housing Assistance Program will pay back-rent/mortgage and rent/mortgage payments on behalf of eligible households directly to the landlord.</t>
  </si>
  <si>
    <t>New Jersey COVID-19 Housing Assistance Program</t>
  </si>
  <si>
    <t>Camden County</t>
  </si>
  <si>
    <t>Camden County is establishing a rental assistance program for renters who are struggling to pay or at risk of eviction in the wake of the coronavirus pandemic. The program is utilizing $4 million from the federal CARES Act. Anyone who has fallen behind on their rent can reach out for help, as long as they meet certain requirements, including income limits and proof of lost or reduced income. Applications open Thursday, Oct. 1 at 8 a.m. and will be awarded on a first-come, first-served basis. Assistance will be granted until all available funds are used.</t>
  </si>
  <si>
    <t>Camden County CARES Rental Assistance Grant</t>
  </si>
  <si>
    <t>Essex County</t>
  </si>
  <si>
    <t>The Essex County Coronavirus Emergency Rental Assistance Program will help eligible residents pay up to six months of their rent and help them quickly exit homelessness during these uncertain times and benefits landlords who will receive rental payments so they can pay for property taxes and other expenses</t>
  </si>
  <si>
    <t>Essex County Coronavirus Emergency Rental Assistance Program</t>
  </si>
  <si>
    <t>Somerset County</t>
  </si>
  <si>
    <t>Somerset County Emergency Rental Relief Program</t>
  </si>
  <si>
    <t>Somerset County has established an Emergency Rental Relief Program for County households that had a loss of income as a result of the COVID-19 pandemic.  Applicants may be eligible for up to 3 months’ rent or $3,000.00, whichever is less, for payment toward rent that is owed.</t>
  </si>
  <si>
    <t>Dutchess County</t>
  </si>
  <si>
    <t>The COVID-19 Emergency Response Fund has been created to provide assistance to Dutchess County households most at risk of being severely impacted by COVID-19. Funds will be used to make direct payments to landlords and utilities companies. Housing expenses will be prioritized, but we will also accept applications for unavoidable expenses such as medical bills, car payments, etc.</t>
  </si>
  <si>
    <t>COMMUNITY COVID-19 EMERGENCY RESPONSE FUND</t>
  </si>
  <si>
    <t>Niagra Falls</t>
  </si>
  <si>
    <t>Niagara Falls has begun distributing more than $2.5 million in Community Development Block Grants (CDBG) and Emergency Solutions Grants (ESG-CV) for COVID-19 related services. Mayor Robert Restaino presented close to half a million dollars for homelessness intervention, rental assistance and utility assistance to help local families avoid eviction and homelessness.</t>
  </si>
  <si>
    <t>Emergency Assistance Program</t>
  </si>
  <si>
    <t>The Board of Commissioners appropriated $2 million of fund balance for the costs associated with Wake County's COVID-19 response.</t>
  </si>
  <si>
    <t>Wake County and community partners have launched the House Wake! COVID-19 Eviction Prevention Program. This next phase focuses on preventing the displacement of Wake County renters who lost income as a result of COVID-19. The three-step program offers: financial assistance to tenants and landlords to cover rent shortfalls resulting from a loss of income through a partnership with Telamon Corporation; free legal support through a partnership with Legal Aid of North Carolina for tenants who need a lawyer to negotiate filed evictions with landlords or other legal services; and assistance relocating residents whose housing could not be stabilized through steps 1 or 2.</t>
  </si>
  <si>
    <t>House Wake! Eviction Prevention Program</t>
  </si>
  <si>
    <t>City Council agreed to provide a $300,000 grant to the Columbus Urban League to provide rental and mortgage assistance to residents impacted by COVID-19. You can get help of up to $1,000 if you’re at risk of being evicted, need help with a security deposit, and /or are at risk of becoming homeless — no matter your income.</t>
  </si>
  <si>
    <t>Columbus Emergency Assistance</t>
  </si>
  <si>
    <t>The City of Portland announced a Household Assistance Program. It's worth $15 million and will help 27,000 people living in Portland. The help comes in the form of a one-time payment of $500. It is designed to help cover basic expenses, including food, medicine, dependent care, transportation, and rent and utilities.</t>
  </si>
  <si>
    <t>$500 payments for some Portlanders in new COVID-19 housing assistance program</t>
  </si>
  <si>
    <t>South Dakotans who are impacted by COVID-19 and need help paying housing expenses can apply for assistance. The South Dakota Housing Development Authority (SDHDA) was given $10 million in Coronavirus Relief Funds (CRF) by South Dakota Governor Kristi Noem. The money comes from the Federal Coronavirus Aid, Relief and Economic Security (CARES) Act and can provide South Dakotans with up to $1500 a month.</t>
  </si>
  <si>
    <t>SD CARES HOUSING ASSISTANCE PROGRAM</t>
  </si>
  <si>
    <t>On June 4, the City of Austin approved phase 2 of the Relief in a State of Emergency program. $10 million in Relief in a State of Emergency (RISE) 2.0 funds were approved to go to individuals in Austin and Travis County through RISE 2.0. On September 14, 2020 the application opened for RISE 2.0 emergency assistance for those who are facing financial hardships due to COVID-19.  The application will close on September 21, 2020 and funds will be distributed in $2,000 increments per household based on a randomized selection process. The program provides immediate financial assistance through ACH transfers, pre-paid debit and credit cards. Unlike the first phase, which distributed money to social service agencies who then provided aid, in phase 2 the city of Austin provided assistance directly to individuals.</t>
  </si>
  <si>
    <t>COVID-19 Relief in a State of Emergency (RISE) Fund 2.0</t>
  </si>
  <si>
    <t>Fort Bend, Montgomery, and Waller County</t>
  </si>
  <si>
    <t>The Greater Houston COVID-19 Recovery Fund is distributing $2.3 million in its final round of grants aimed at supporting the most vulnerable families and individuals in the Houston community, This includes Outlying Counties Rental Assistance ($500,000): A grant will provide emergency rental assistance to residents in the following counties through local nonprofits</t>
  </si>
  <si>
    <t>Greater Houston COVID-19 Recovery Fund Rental Assistance</t>
  </si>
  <si>
    <t>Tarrant County</t>
  </si>
  <si>
    <t>CARE 4 Tarrant Rental Assistance Program</t>
  </si>
  <si>
    <t xml:space="preserve">The Tarrant County Commissioners Court has allocated $10 million in funds to assist with rental payments for those directly impacted by the COVID-19 pandemic. Assistance is available on a first-come, first-served basis subject to periodic review of eligibility. </t>
  </si>
  <si>
    <t>Williamson County</t>
  </si>
  <si>
    <t xml:space="preserve">Wilco Forward Phase III is funded with $5 million from a combination of Community Development Block Grant funds and federal CARES Act funds. Phase III provides rent and utility assistance to residents that are in need through partnerships with local non-profits. Terms of agreement were approved between Williamson County and The Caring Place, The Salvation Army, and the Round Rock Serving Center. </t>
  </si>
  <si>
    <t>Wilco Forward Phase 3 Rent and Utility Assistance</t>
  </si>
  <si>
    <t>Lacey</t>
  </si>
  <si>
    <t>On Oct. 15, Lacey City Council voted to give $779,050 to families hit hard by the pandemic. The money comes from a second round of the federal CARES Act. The cash is funneled through the state to the city. Lacey partnered with the Community Action Council to make sure all the money goes to people in need.</t>
  </si>
  <si>
    <t>Lacey Financial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</si>
</sst>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27">
    <font>
      <sz val="11"/>
      <color rgb="FF000000"/>
      <name val="Calibri"/>
    </font>
    <font>
      <sz val="10"/>
      <color rgb="FF000000"/>
      <name val="Calibri"/>
      <family val="2"/>
    </font>
    <font>
      <b/>
      <sz val="18"/>
      <color rgb="FF000000"/>
      <name val="Calibri"/>
      <family val="2"/>
    </font>
    <font>
      <b/>
      <sz val="10"/>
      <color rgb="FF000000"/>
      <name val="Calibri"/>
      <family val="2"/>
    </font>
    <font>
      <sz val="11"/>
      <name val="Calibri"/>
      <family val="2"/>
    </font>
    <font>
      <b/>
      <i/>
      <sz val="10"/>
      <color rgb="FF000000"/>
      <name val="Calibri"/>
      <family val="2"/>
    </font>
    <font>
      <sz val="11"/>
      <color theme="1"/>
      <name val="Calibri"/>
      <family val="2"/>
    </font>
    <font>
      <b/>
      <sz val="12"/>
      <color rgb="FF000000"/>
      <name val="Calibri"/>
      <family val="2"/>
    </font>
    <font>
      <b/>
      <sz val="12"/>
      <color theme="1"/>
      <name val="Calibri"/>
      <family val="2"/>
    </font>
    <font>
      <sz val="9"/>
      <color rgb="FF000000"/>
      <name val="Calibri"/>
      <family val="2"/>
    </font>
    <font>
      <u/>
      <sz val="11"/>
      <color rgb="FF0000FF"/>
      <name val="Calibri"/>
      <family val="2"/>
    </font>
    <font>
      <sz val="11"/>
      <color rgb="FF000000"/>
      <name val="Calibri"/>
      <family val="2"/>
    </font>
    <font>
      <sz val="2"/>
      <color rgb="FF0220B2"/>
      <name val="Roboto"/>
    </font>
    <font>
      <b/>
      <sz val="11"/>
      <color rgb="FF000000"/>
      <name val="Calibri"/>
      <family val="2"/>
    </font>
    <font>
      <b/>
      <i/>
      <sz val="11"/>
      <color rgb="FF000000"/>
      <name val="Calibri"/>
      <family val="2"/>
    </font>
    <font>
      <u/>
      <sz val="11"/>
      <color rgb="FF0563C1"/>
      <name val="Calibri"/>
      <family val="2"/>
    </font>
    <font>
      <b/>
      <sz val="11"/>
      <name val="Calibri"/>
      <family val="2"/>
    </font>
    <font>
      <u/>
      <sz val="11"/>
      <color theme="10"/>
      <name val="Calibri"/>
      <family val="2"/>
    </font>
    <font>
      <u/>
      <sz val="11"/>
      <name val="Calibri"/>
      <family val="2"/>
    </font>
    <font>
      <b/>
      <sz val="12"/>
      <name val="Calibri"/>
      <family val="2"/>
    </font>
    <font>
      <b/>
      <sz val="18"/>
      <name val="Calibri"/>
      <family val="2"/>
    </font>
    <font>
      <sz val="9"/>
      <name val="Calibri"/>
      <family val="2"/>
    </font>
    <font>
      <sz val="12"/>
      <name val="Calibri"/>
      <family val="2"/>
    </font>
    <font>
      <sz val="11"/>
      <name val="Calibri"/>
    </font>
    <font>
      <u/>
      <sz val="11"/>
      <name val="Calibri"/>
    </font>
    <font>
      <b/>
      <sz val="12"/>
      <name val="Calibri"/>
    </font>
    <font>
      <sz val="11"/>
      <color rgb="FF000000"/>
      <name val="Calibri"/>
    </font>
  </fonts>
  <fills count="6">
    <fill>
      <patternFill patternType="none"/>
    </fill>
    <fill>
      <patternFill patternType="gray125"/>
    </fill>
    <fill>
      <patternFill patternType="solid">
        <fgColor rgb="FF70AD47"/>
        <bgColor rgb="FF70AD47"/>
      </patternFill>
    </fill>
    <fill>
      <patternFill patternType="solid">
        <fgColor rgb="FFF4B083"/>
        <bgColor rgb="FFF4B083"/>
      </patternFill>
    </fill>
    <fill>
      <patternFill patternType="solid">
        <fgColor rgb="FFA8D08D"/>
        <bgColor rgb="FFA8D08D"/>
      </patternFill>
    </fill>
    <fill>
      <patternFill patternType="solid">
        <fgColor rgb="FFFFFFFF"/>
        <bgColor rgb="FFFFFFFF"/>
      </patternFill>
    </fill>
  </fills>
  <borders count="17">
    <border>
      <left/>
      <right/>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style="thin">
        <color rgb="FF000000"/>
      </left>
      <right style="thin">
        <color rgb="FF000000"/>
      </right>
      <top style="thin">
        <color indexed="64"/>
      </top>
      <bottom style="thin">
        <color indexed="64"/>
      </bottom>
      <diagonal/>
    </border>
  </borders>
  <cellStyleXfs count="3">
    <xf numFmtId="0" fontId="0" fillId="0" borderId="0"/>
    <xf numFmtId="0" fontId="17" fillId="0" borderId="0" applyNumberFormat="0" applyFill="0" applyBorder="0" applyAlignment="0" applyProtection="0"/>
    <xf numFmtId="44" fontId="26" fillId="0" borderId="0" applyFont="0" applyFill="0" applyBorder="0" applyAlignment="0" applyProtection="0"/>
  </cellStyleXfs>
  <cellXfs count="128">
    <xf numFmtId="0" fontId="0" fillId="0" borderId="0" xfId="0" applyFont="1" applyAlignment="1"/>
    <xf numFmtId="0" fontId="1" fillId="0" borderId="0" xfId="0" applyFont="1"/>
    <xf numFmtId="0" fontId="3" fillId="0" borderId="0" xfId="0" applyFont="1" applyAlignment="1">
      <alignment horizontal="center"/>
    </xf>
    <xf numFmtId="0" fontId="2" fillId="0" borderId="0" xfId="0" applyFont="1" applyAlignment="1">
      <alignment horizontal="center" vertical="top"/>
    </xf>
    <xf numFmtId="0" fontId="5" fillId="0" borderId="5" xfId="0" applyFont="1" applyBorder="1"/>
    <xf numFmtId="0" fontId="6" fillId="0" borderId="0" xfId="0" applyFont="1" applyAlignment="1">
      <alignment vertical="top" wrapText="1"/>
    </xf>
    <xf numFmtId="0" fontId="1" fillId="0" borderId="6" xfId="0" applyFont="1" applyBorder="1"/>
    <xf numFmtId="0" fontId="1" fillId="0" borderId="7" xfId="0" applyFont="1" applyBorder="1"/>
    <xf numFmtId="0" fontId="0" fillId="0" borderId="0" xfId="0" applyFont="1" applyAlignment="1">
      <alignment vertical="top"/>
    </xf>
    <xf numFmtId="0" fontId="6" fillId="0" borderId="0" xfId="0" applyFont="1" applyAlignment="1">
      <alignment vertical="top"/>
    </xf>
    <xf numFmtId="9" fontId="7" fillId="4" borderId="5" xfId="0" applyNumberFormat="1" applyFont="1" applyFill="1" applyBorder="1" applyAlignment="1">
      <alignment horizontal="center" vertical="top" wrapText="1"/>
    </xf>
    <xf numFmtId="0" fontId="5" fillId="0" borderId="8" xfId="0" applyFont="1" applyBorder="1"/>
    <xf numFmtId="0" fontId="7" fillId="4" borderId="5" xfId="0" applyFont="1" applyFill="1" applyBorder="1" applyAlignment="1">
      <alignment horizontal="center" vertical="top" wrapText="1"/>
    </xf>
    <xf numFmtId="0" fontId="1" fillId="0" borderId="8" xfId="0" applyFont="1" applyBorder="1" applyAlignment="1">
      <alignment horizontal="right"/>
    </xf>
    <xf numFmtId="9" fontId="8" fillId="0" borderId="0" xfId="0" applyNumberFormat="1" applyFont="1" applyAlignment="1">
      <alignment horizontal="center" vertical="top" wrapText="1"/>
    </xf>
    <xf numFmtId="0" fontId="9" fillId="0" borderId="0" xfId="0" applyFont="1" applyAlignment="1">
      <alignment vertical="top"/>
    </xf>
    <xf numFmtId="0" fontId="1" fillId="0" borderId="6" xfId="0" applyFont="1" applyBorder="1" applyAlignment="1">
      <alignment horizontal="right"/>
    </xf>
    <xf numFmtId="0" fontId="7" fillId="0" borderId="0" xfId="0" applyFont="1" applyAlignment="1">
      <alignment horizontal="left" vertical="top" wrapText="1"/>
    </xf>
    <xf numFmtId="9" fontId="7" fillId="0" borderId="0" xfId="0" applyNumberFormat="1" applyFont="1" applyAlignment="1">
      <alignment horizontal="center" vertical="top" wrapText="1"/>
    </xf>
    <xf numFmtId="0" fontId="6" fillId="0" borderId="5" xfId="0" applyFont="1" applyBorder="1" applyAlignment="1">
      <alignment vertical="top"/>
    </xf>
    <xf numFmtId="0" fontId="1" fillId="0" borderId="7" xfId="0" applyFont="1" applyBorder="1" applyAlignment="1">
      <alignment horizontal="right"/>
    </xf>
    <xf numFmtId="14" fontId="6" fillId="0" borderId="5" xfId="0" applyNumberFormat="1" applyFont="1" applyBorder="1" applyAlignment="1">
      <alignment vertical="top"/>
    </xf>
    <xf numFmtId="0" fontId="5" fillId="0" borderId="5" xfId="0" applyFont="1" applyBorder="1" applyAlignment="1">
      <alignment wrapText="1"/>
    </xf>
    <xf numFmtId="0" fontId="5" fillId="0" borderId="0" xfId="0" applyFont="1" applyAlignment="1">
      <alignment wrapText="1"/>
    </xf>
    <xf numFmtId="0" fontId="10" fillId="0" borderId="5" xfId="0" applyFont="1" applyBorder="1" applyAlignment="1">
      <alignment vertical="top" wrapText="1"/>
    </xf>
    <xf numFmtId="0" fontId="1" fillId="0" borderId="8" xfId="0" applyFont="1" applyBorder="1"/>
    <xf numFmtId="0" fontId="0" fillId="0" borderId="5" xfId="0" applyFont="1" applyBorder="1" applyAlignment="1">
      <alignment vertical="top" wrapText="1"/>
    </xf>
    <xf numFmtId="0" fontId="1" fillId="0" borderId="9" xfId="0" applyFont="1" applyBorder="1"/>
    <xf numFmtId="0" fontId="1" fillId="0" borderId="10" xfId="0" applyFont="1" applyBorder="1"/>
    <xf numFmtId="0" fontId="12" fillId="5" borderId="0" xfId="0" applyFont="1" applyFill="1" applyAlignment="1">
      <alignment vertical="top"/>
    </xf>
    <xf numFmtId="0" fontId="4" fillId="0" borderId="5" xfId="0" applyFont="1" applyBorder="1" applyAlignment="1">
      <alignment vertical="top" wrapText="1"/>
    </xf>
    <xf numFmtId="0" fontId="0" fillId="0" borderId="0" xfId="0" applyFont="1"/>
    <xf numFmtId="0" fontId="0" fillId="0" borderId="5" xfId="0" applyFont="1" applyBorder="1"/>
    <xf numFmtId="0" fontId="15" fillId="0" borderId="5" xfId="0" applyFont="1" applyBorder="1"/>
    <xf numFmtId="0" fontId="0" fillId="0" borderId="5" xfId="0" applyFont="1" applyBorder="1" applyAlignment="1">
      <alignment wrapText="1"/>
    </xf>
    <xf numFmtId="6" fontId="0" fillId="0" borderId="5" xfId="0" applyNumberFormat="1" applyFont="1" applyBorder="1" applyAlignment="1">
      <alignment wrapText="1"/>
    </xf>
    <xf numFmtId="0" fontId="0" fillId="0" borderId="5" xfId="0" applyFont="1" applyBorder="1" applyAlignment="1">
      <alignment horizontal="left" wrapText="1"/>
    </xf>
    <xf numFmtId="0" fontId="6" fillId="0" borderId="5" xfId="0" applyFont="1" applyBorder="1" applyAlignment="1">
      <alignment vertical="top" wrapText="1"/>
    </xf>
    <xf numFmtId="0" fontId="4"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18" fillId="0" borderId="11" xfId="1" applyFont="1" applyBorder="1" applyAlignment="1">
      <alignment vertical="top" wrapText="1"/>
    </xf>
    <xf numFmtId="9" fontId="19" fillId="4" borderId="5" xfId="0" applyNumberFormat="1" applyFont="1" applyFill="1" applyBorder="1" applyAlignment="1">
      <alignment horizontal="center" vertical="top" wrapText="1"/>
    </xf>
    <xf numFmtId="0" fontId="18" fillId="0" borderId="5" xfId="0" applyFont="1" applyBorder="1" applyAlignment="1">
      <alignment vertical="top" wrapText="1"/>
    </xf>
    <xf numFmtId="0" fontId="18" fillId="0" borderId="5" xfId="1" applyFont="1" applyBorder="1" applyAlignment="1">
      <alignment vertical="top" wrapText="1"/>
    </xf>
    <xf numFmtId="0" fontId="18" fillId="0" borderId="5" xfId="0" applyFont="1" applyBorder="1" applyAlignment="1">
      <alignment vertical="top"/>
    </xf>
    <xf numFmtId="0" fontId="4" fillId="0" borderId="0" xfId="0" applyFont="1" applyAlignment="1"/>
    <xf numFmtId="0" fontId="4" fillId="0" borderId="4" xfId="0" applyFont="1" applyBorder="1" applyAlignment="1">
      <alignment horizontal="left" vertical="top" wrapText="1"/>
    </xf>
    <xf numFmtId="0" fontId="18" fillId="0" borderId="8" xfId="0" applyFont="1" applyBorder="1" applyAlignment="1">
      <alignment vertical="top" wrapText="1"/>
    </xf>
    <xf numFmtId="0" fontId="18" fillId="0" borderId="7" xfId="0" applyFont="1" applyBorder="1" applyAlignment="1">
      <alignment vertical="top" wrapText="1"/>
    </xf>
    <xf numFmtId="0" fontId="4" fillId="0" borderId="6" xfId="0" applyFont="1" applyFill="1" applyBorder="1" applyAlignment="1">
      <alignment horizontal="left" vertical="top" wrapText="1"/>
    </xf>
    <xf numFmtId="0" fontId="4" fillId="5" borderId="5" xfId="0" applyFont="1" applyFill="1" applyBorder="1" applyAlignment="1">
      <alignment vertical="top" wrapText="1"/>
    </xf>
    <xf numFmtId="14" fontId="4" fillId="0" borderId="5" xfId="0" applyNumberFormat="1" applyFont="1" applyBorder="1" applyAlignment="1">
      <alignment vertical="top" wrapText="1"/>
    </xf>
    <xf numFmtId="0" fontId="4" fillId="0" borderId="0" xfId="0" applyFont="1" applyAlignment="1">
      <alignment vertical="top" wrapText="1"/>
    </xf>
    <xf numFmtId="0" fontId="18" fillId="0" borderId="2" xfId="1" applyFont="1" applyBorder="1" applyAlignment="1">
      <alignment vertical="top" wrapText="1"/>
    </xf>
    <xf numFmtId="0" fontId="19" fillId="4" borderId="5" xfId="0" applyFont="1" applyFill="1" applyBorder="1" applyAlignment="1">
      <alignment horizontal="center" vertical="top" wrapText="1"/>
    </xf>
    <xf numFmtId="0" fontId="19" fillId="4" borderId="5" xfId="0" applyFont="1" applyFill="1" applyBorder="1" applyAlignment="1">
      <alignment horizontal="left" vertical="top" wrapText="1"/>
    </xf>
    <xf numFmtId="0" fontId="21" fillId="0" borderId="0" xfId="0" applyFont="1" applyAlignment="1">
      <alignment vertical="top" wrapText="1"/>
    </xf>
    <xf numFmtId="0" fontId="22" fillId="5" borderId="5" xfId="0" applyFont="1" applyFill="1" applyBorder="1" applyAlignment="1">
      <alignment vertical="top" wrapText="1"/>
    </xf>
    <xf numFmtId="0" fontId="4" fillId="0" borderId="1" xfId="0" applyFont="1" applyBorder="1" applyAlignment="1">
      <alignment vertical="top" wrapText="1"/>
    </xf>
    <xf numFmtId="0" fontId="4" fillId="5" borderId="5" xfId="0" applyFont="1" applyFill="1" applyBorder="1" applyAlignment="1">
      <alignment horizontal="left" wrapText="1"/>
    </xf>
    <xf numFmtId="0" fontId="4" fillId="0" borderId="6" xfId="0" applyFont="1" applyFill="1" applyBorder="1" applyAlignment="1">
      <alignment vertical="top" wrapText="1"/>
    </xf>
    <xf numFmtId="0" fontId="4" fillId="0" borderId="0" xfId="0" applyFont="1" applyAlignment="1">
      <alignment wrapText="1"/>
    </xf>
    <xf numFmtId="0" fontId="4" fillId="0" borderId="0" xfId="0" applyFont="1" applyAlignment="1">
      <alignment horizontal="left" vertical="top" wrapText="1"/>
    </xf>
    <xf numFmtId="14" fontId="4" fillId="0" borderId="0" xfId="0" applyNumberFormat="1" applyFont="1" applyAlignment="1">
      <alignment vertical="top" wrapText="1"/>
    </xf>
    <xf numFmtId="0" fontId="4" fillId="5" borderId="0" xfId="0" applyFont="1" applyFill="1" applyAlignment="1">
      <alignment vertical="top" wrapText="1"/>
    </xf>
    <xf numFmtId="0" fontId="4" fillId="5" borderId="0" xfId="0" applyFont="1" applyFill="1" applyAlignment="1">
      <alignment horizontal="left" vertical="top" wrapText="1"/>
    </xf>
    <xf numFmtId="0" fontId="18" fillId="0" borderId="2" xfId="1" applyFont="1" applyBorder="1" applyAlignment="1">
      <alignment vertical="center"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vertical="top" wrapText="1"/>
    </xf>
    <xf numFmtId="0" fontId="15" fillId="0" borderId="5" xfId="0" applyFont="1" applyBorder="1" applyAlignment="1">
      <alignment wrapText="1"/>
    </xf>
    <xf numFmtId="0" fontId="18" fillId="0" borderId="0" xfId="0" applyFont="1" applyAlignment="1">
      <alignment vertical="top" wrapText="1"/>
    </xf>
    <xf numFmtId="0" fontId="18" fillId="0" borderId="0" xfId="1" applyFont="1" applyBorder="1" applyAlignment="1">
      <alignment vertical="top" wrapText="1"/>
    </xf>
    <xf numFmtId="14" fontId="4" fillId="0" borderId="0" xfId="0" applyNumberFormat="1" applyFont="1" applyBorder="1" applyAlignment="1">
      <alignment vertical="top"/>
    </xf>
    <xf numFmtId="0" fontId="18" fillId="0" borderId="0" xfId="1" applyFont="1" applyBorder="1" applyAlignment="1">
      <alignment vertical="center" wrapText="1"/>
    </xf>
    <xf numFmtId="0" fontId="4" fillId="0" borderId="8" xfId="0" applyFont="1" applyBorder="1" applyAlignment="1">
      <alignment horizontal="left" vertical="top" wrapText="1"/>
    </xf>
    <xf numFmtId="14" fontId="4" fillId="0" borderId="8" xfId="0" applyNumberFormat="1"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18" fillId="0" borderId="13" xfId="1" applyFont="1" applyBorder="1" applyAlignment="1">
      <alignment vertical="top" wrapText="1"/>
    </xf>
    <xf numFmtId="0" fontId="4" fillId="0" borderId="7" xfId="0" applyFont="1" applyBorder="1" applyAlignment="1">
      <alignment horizontal="left" vertical="top" wrapText="1"/>
    </xf>
    <xf numFmtId="14" fontId="4" fillId="0" borderId="7" xfId="0" applyNumberFormat="1" applyFont="1" applyBorder="1" applyAlignment="1">
      <alignment vertical="top" wrapText="1"/>
    </xf>
    <xf numFmtId="0" fontId="4" fillId="0" borderId="11" xfId="0" applyFont="1" applyBorder="1" applyAlignment="1">
      <alignment horizontal="left" vertical="top" wrapText="1"/>
    </xf>
    <xf numFmtId="14" fontId="4" fillId="0" borderId="11" xfId="0" applyNumberFormat="1" applyFont="1" applyBorder="1" applyAlignment="1">
      <alignment vertical="top" wrapText="1"/>
    </xf>
    <xf numFmtId="0" fontId="18" fillId="0" borderId="2" xfId="1" applyFont="1" applyBorder="1" applyAlignment="1">
      <alignment vertical="top"/>
    </xf>
    <xf numFmtId="0" fontId="18" fillId="0" borderId="5" xfId="1" applyFont="1" applyBorder="1" applyAlignment="1">
      <alignment vertical="top"/>
    </xf>
    <xf numFmtId="0" fontId="18" fillId="0" borderId="14" xfId="1" applyFont="1" applyBorder="1" applyAlignment="1">
      <alignment vertical="top"/>
    </xf>
    <xf numFmtId="0" fontId="19" fillId="4" borderId="15" xfId="0" applyFont="1" applyFill="1" applyBorder="1" applyAlignment="1">
      <alignment horizontal="center" vertical="top" wrapText="1"/>
    </xf>
    <xf numFmtId="0" fontId="19" fillId="4" borderId="6" xfId="0" applyFont="1" applyFill="1" applyBorder="1" applyAlignment="1">
      <alignment horizontal="left" vertical="top" wrapText="1"/>
    </xf>
    <xf numFmtId="9" fontId="19" fillId="4" borderId="6" xfId="0" applyNumberFormat="1" applyFont="1" applyFill="1" applyBorder="1" applyAlignment="1">
      <alignment horizontal="center" vertical="top" wrapText="1"/>
    </xf>
    <xf numFmtId="9" fontId="19" fillId="4" borderId="9" xfId="0" applyNumberFormat="1" applyFont="1" applyFill="1" applyBorder="1" applyAlignment="1">
      <alignment horizontal="center" vertical="top" wrapText="1"/>
    </xf>
    <xf numFmtId="9" fontId="25" fillId="4" borderId="6" xfId="0" applyNumberFormat="1" applyFont="1" applyFill="1" applyBorder="1" applyAlignment="1">
      <alignment horizontal="center" vertical="top" wrapText="1"/>
    </xf>
    <xf numFmtId="0" fontId="4" fillId="5" borderId="11" xfId="0" applyFont="1" applyFill="1" applyBorder="1" applyAlignment="1">
      <alignment vertical="top" wrapText="1"/>
    </xf>
    <xf numFmtId="0" fontId="4" fillId="5" borderId="11" xfId="0" applyFont="1" applyFill="1" applyBorder="1" applyAlignment="1">
      <alignment horizontal="left" vertical="top" wrapText="1"/>
    </xf>
    <xf numFmtId="0" fontId="18" fillId="0" borderId="11" xfId="0" applyFont="1" applyBorder="1" applyAlignment="1">
      <alignment vertical="top" wrapText="1"/>
    </xf>
    <xf numFmtId="0" fontId="23" fillId="5" borderId="11" xfId="0" applyFont="1" applyFill="1" applyBorder="1" applyAlignment="1">
      <alignment horizontal="left" vertical="top" wrapText="1"/>
    </xf>
    <xf numFmtId="14" fontId="23" fillId="0" borderId="11" xfId="0" applyNumberFormat="1" applyFont="1" applyBorder="1" applyAlignment="1">
      <alignment vertical="top" wrapText="1"/>
    </xf>
    <xf numFmtId="0" fontId="23" fillId="0" borderId="11" xfId="0" applyFont="1" applyBorder="1" applyAlignment="1">
      <alignment vertical="top" wrapText="1"/>
    </xf>
    <xf numFmtId="0" fontId="24" fillId="0" borderId="11" xfId="1" applyFont="1" applyBorder="1" applyAlignment="1">
      <alignment vertical="top" wrapText="1"/>
    </xf>
    <xf numFmtId="0" fontId="17" fillId="0" borderId="11" xfId="1" applyBorder="1" applyAlignment="1">
      <alignment vertical="top" wrapText="1"/>
    </xf>
    <xf numFmtId="0" fontId="23" fillId="5" borderId="11" xfId="0" applyFont="1" applyFill="1" applyBorder="1" applyAlignment="1">
      <alignment vertical="top" wrapText="1"/>
    </xf>
    <xf numFmtId="0" fontId="23" fillId="5" borderId="13" xfId="0" applyFont="1" applyFill="1" applyBorder="1" applyAlignment="1">
      <alignment vertical="top" wrapText="1"/>
    </xf>
    <xf numFmtId="0" fontId="23" fillId="5" borderId="13" xfId="0" applyFont="1" applyFill="1" applyBorder="1" applyAlignment="1">
      <alignment horizontal="left" vertical="top" wrapText="1"/>
    </xf>
    <xf numFmtId="14" fontId="23" fillId="0" borderId="13" xfId="0" applyNumberFormat="1" applyFont="1" applyBorder="1" applyAlignment="1">
      <alignment vertical="top" wrapText="1"/>
    </xf>
    <xf numFmtId="0" fontId="23" fillId="0" borderId="13" xfId="0" applyFont="1" applyBorder="1" applyAlignment="1">
      <alignment vertical="top" wrapText="1"/>
    </xf>
    <xf numFmtId="0" fontId="0" fillId="0" borderId="11" xfId="0" applyFont="1" applyBorder="1" applyAlignment="1">
      <alignment vertical="top"/>
    </xf>
    <xf numFmtId="0" fontId="17" fillId="0" borderId="13" xfId="1" applyBorder="1" applyAlignment="1">
      <alignment vertical="top" wrapText="1"/>
    </xf>
    <xf numFmtId="44" fontId="19" fillId="4" borderId="6" xfId="2" applyFont="1" applyFill="1" applyBorder="1" applyAlignment="1">
      <alignment horizontal="center" vertical="top" wrapText="1"/>
    </xf>
    <xf numFmtId="44" fontId="23" fillId="0" borderId="11" xfId="2" applyFont="1" applyBorder="1" applyAlignment="1">
      <alignment vertical="top" wrapText="1"/>
    </xf>
    <xf numFmtId="44" fontId="0" fillId="0" borderId="0" xfId="2" applyFont="1" applyAlignment="1"/>
    <xf numFmtId="0" fontId="4" fillId="0" borderId="11" xfId="0" applyFont="1" applyBorder="1" applyAlignment="1">
      <alignment vertical="top"/>
    </xf>
    <xf numFmtId="164" fontId="4" fillId="0" borderId="5" xfId="2" applyNumberFormat="1" applyFont="1" applyBorder="1" applyAlignment="1">
      <alignment vertical="top" wrapText="1"/>
    </xf>
    <xf numFmtId="164" fontId="4" fillId="0" borderId="11" xfId="2" applyNumberFormat="1" applyFont="1" applyBorder="1" applyAlignment="1">
      <alignment vertical="top" wrapText="1"/>
    </xf>
    <xf numFmtId="164" fontId="23" fillId="0" borderId="11" xfId="2" applyNumberFormat="1" applyFont="1" applyBorder="1" applyAlignment="1">
      <alignment vertical="top" wrapText="1"/>
    </xf>
    <xf numFmtId="14" fontId="4" fillId="0" borderId="0" xfId="0" applyNumberFormat="1" applyFont="1" applyAlignment="1">
      <alignment vertical="top"/>
    </xf>
    <xf numFmtId="0" fontId="20" fillId="2" borderId="1" xfId="0" applyFont="1" applyFill="1" applyBorder="1" applyAlignment="1">
      <alignment horizontal="center" vertical="top" wrapText="1"/>
    </xf>
    <xf numFmtId="0" fontId="4" fillId="0" borderId="3" xfId="0" applyFont="1" applyBorder="1" applyAlignment="1"/>
    <xf numFmtId="0" fontId="4" fillId="0" borderId="4" xfId="0" applyFont="1" applyBorder="1" applyAlignment="1"/>
    <xf numFmtId="0" fontId="20" fillId="2" borderId="9" xfId="0" applyFont="1" applyFill="1" applyBorder="1" applyAlignment="1">
      <alignment horizontal="center" vertical="top" wrapText="1"/>
    </xf>
    <xf numFmtId="0" fontId="20" fillId="2" borderId="2" xfId="0" applyFont="1" applyFill="1" applyBorder="1" applyAlignment="1">
      <alignment horizontal="center" vertical="top" wrapText="1"/>
    </xf>
    <xf numFmtId="0" fontId="2" fillId="2" borderId="1" xfId="0" applyFont="1" applyFill="1" applyBorder="1" applyAlignment="1">
      <alignment horizontal="center" vertical="top"/>
    </xf>
    <xf numFmtId="0" fontId="3" fillId="3" borderId="2" xfId="0" applyFont="1" applyFill="1" applyBorder="1" applyAlignment="1">
      <alignment horizontal="center"/>
    </xf>
    <xf numFmtId="0" fontId="4" fillId="0" borderId="2" xfId="0" applyFont="1" applyBorder="1" applyAlignment="1"/>
    <xf numFmtId="0" fontId="5" fillId="0" borderId="1" xfId="0" applyFont="1" applyBorder="1" applyAlignment="1">
      <alignment horizontal="center" vertical="center" wrapText="1"/>
    </xf>
    <xf numFmtId="0" fontId="13" fillId="4" borderId="8" xfId="0" applyFont="1" applyFill="1" applyBorder="1" applyAlignment="1">
      <alignment horizontal="center" vertical="center" wrapText="1"/>
    </xf>
    <xf numFmtId="0" fontId="4" fillId="0" borderId="7" xfId="0" applyFont="1" applyBorder="1" applyAlignment="1"/>
    <xf numFmtId="0" fontId="14" fillId="4" borderId="8" xfId="0" applyFont="1" applyFill="1" applyBorder="1" applyAlignment="1">
      <alignment horizontal="center" vertical="center" wrapText="1"/>
    </xf>
    <xf numFmtId="0" fontId="18" fillId="0" borderId="16" xfId="1" applyFont="1" applyBorder="1" applyAlignment="1">
      <alignment vertical="top" wrapText="1"/>
    </xf>
  </cellXfs>
  <cellStyles count="3">
    <cellStyle name="Currency" xfId="2" builtinId="4"/>
    <cellStyle name="Hyperlink" xfId="1" builtinId="8"/>
    <cellStyle name="Normal" xfId="0" builtinId="0"/>
  </cellStyles>
  <dxfs count="12">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numFmt numFmtId="164" formatCode="_(&quot;$&quot;* #,##0_);_(&quot;$&quot;* \(#,##0\);_(&quot;$&quot;* &quot;-&quot;??_);_(@_)"/>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solid">
          <fgColor rgb="FFFFFFFF"/>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solid">
          <fgColor rgb="FFFFFFFF"/>
          <bgColor rgb="FFFFFFFF"/>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auto="1"/>
        <name val="Calibri"/>
        <scheme val="none"/>
      </font>
      <numFmt numFmtId="13" formatCode="0%"/>
      <fill>
        <patternFill patternType="solid">
          <fgColor rgb="FFA8D08D"/>
          <bgColor rgb="FFA8D08D"/>
        </patternFill>
      </fill>
      <alignment horizontal="center" vertical="top"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99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A2:H40" totalsRowShown="0" headerRowDxfId="11" headerRowBorderDxfId="10" tableBorderDxfId="9" totalsRowBorderDxfId="8">
  <autoFilter ref="A2:H40"/>
  <sortState ref="A3:H39">
    <sortCondition ref="A2:A39"/>
  </sortState>
  <tableColumns count="8">
    <tableColumn id="1" name="State" dataDxfId="7"/>
    <tableColumn id="2" name="Jurisdiction" dataDxfId="6"/>
    <tableColumn id="3" name="Date Issued" dataDxfId="5"/>
    <tableColumn id="4" name="Type" dataDxfId="4"/>
    <tableColumn id="10" name="Funding" dataDxfId="3" dataCellStyle="Currency"/>
    <tableColumn id="5" name="Summary" dataDxfId="2"/>
    <tableColumn id="6" name="Resource" dataDxfId="1" dataCellStyle="Hyperlink"/>
    <tableColumn id="8" name="Status" dataDxfId="0"/>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registerguard.com/news/20200521/lane-countyrsquos-plan-to-disburse-930k-in-rent-assistance-herersquos-what-we-know" TargetMode="External"/><Relationship Id="rId299" Type="http://schemas.openxmlformats.org/officeDocument/2006/relationships/hyperlink" Target="https://s3.amazonaws.com/fn-document-service/file-by-sha384/672899fd2129525dd60e5c4b904dd30c35980fec2f17e0c2c3da68a6a45bfa13769c40552d9c3b750ef4658bdd50c308" TargetMode="External"/><Relationship Id="rId303" Type="http://schemas.openxmlformats.org/officeDocument/2006/relationships/hyperlink" Target="https://www.baltimorecountymd.gov/Agencies/socialservices/financialassistance/evictionpreventionprogram.html?ct=t(Baltimore_County_News_Media_Advisory_2013_29_2016_)" TargetMode="External"/><Relationship Id="rId21" Type="http://schemas.openxmlformats.org/officeDocument/2006/relationships/hyperlink" Target="https://s3.amazonaws.com/fn-document-service/file-by-sha384/a2ec09c43b69da059bde35bbdbedd02ef4371390fe84bf50af1c54b1f9fc632a3cae4919c5d952579b326f38412389ec" TargetMode="External"/><Relationship Id="rId42" Type="http://schemas.openxmlformats.org/officeDocument/2006/relationships/hyperlink" Target="https://baltimore.cbslocal.com/2020/05/08/coronavirus-response-harford-county-launches-temporary-rent-assistance-program/" TargetMode="External"/><Relationship Id="rId63" Type="http://schemas.openxmlformats.org/officeDocument/2006/relationships/hyperlink" Target="https://cbsaustin.com/news/local/city-of-austin-issuing-12m-in-residential-rental-assistance-amid-coronavirus-pandemic" TargetMode="External"/><Relationship Id="rId84" Type="http://schemas.openxmlformats.org/officeDocument/2006/relationships/hyperlink" Target="https://s3.amazonaws.com/fn-document-service/file-by-sha384/a42f98302959a67983a5626d70b4729106d6f78f33a689b05a98782ea8c887c7f21ac8b601cdc0367c47fd6f179ecea3" TargetMode="External"/><Relationship Id="rId138" Type="http://schemas.openxmlformats.org/officeDocument/2006/relationships/hyperlink" Target="https://www.fox44news.com/news/local-news/rental-assistance-available-in-waco/" TargetMode="External"/><Relationship Id="rId159" Type="http://schemas.openxmlformats.org/officeDocument/2006/relationships/hyperlink" Target="https://www.seattlepi.com/coronavirus/article/seattle-4-mm-federal-funding-rental-assistance-15264831.php" TargetMode="External"/><Relationship Id="rId324" Type="http://schemas.openxmlformats.org/officeDocument/2006/relationships/hyperlink" Target="https://www.co.somerset.nj.us/government/human-services/community-development/cdbg-cv-emergency-rental-relief-err-program" TargetMode="External"/><Relationship Id="rId170" Type="http://schemas.openxmlformats.org/officeDocument/2006/relationships/hyperlink" Target="https://www.mlive.com/news/grand-rapids/2020/05/dozens-of-homeless-families-housed-in-grand-rapids-hotels-to-prevent-spread-of-coronavirus.html" TargetMode="External"/><Relationship Id="rId191" Type="http://schemas.openxmlformats.org/officeDocument/2006/relationships/hyperlink" Target="http://www.surfsantamonica.com/ssm_site/the_lookout/news/News-2020/July-2020/07_01_2020_City_Launches_Rental_Assistance_Program.html" TargetMode="External"/><Relationship Id="rId205" Type="http://schemas.openxmlformats.org/officeDocument/2006/relationships/hyperlink" Target="https://www.nysenate.gov/legislation/bills/2019/S8643" TargetMode="External"/><Relationship Id="rId226" Type="http://schemas.openxmlformats.org/officeDocument/2006/relationships/hyperlink" Target="http://nebula.wsimg.com/cd50c315a5a96aef13dce747553bdb45?AccessKeyId=059E610EB09FF5BC2372&amp;disposition=0&amp;alloworigin=1" TargetMode="External"/><Relationship Id="rId247" Type="http://schemas.openxmlformats.org/officeDocument/2006/relationships/hyperlink" Target="https://www.commerce.wa.gov/serving-communities/homelessness/" TargetMode="External"/><Relationship Id="rId107" Type="http://schemas.openxmlformats.org/officeDocument/2006/relationships/hyperlink" Target="https://www.in.gov/judiciary/files/covid19-2020-0403-release-assessment-local-effort.pdf" TargetMode="External"/><Relationship Id="rId268" Type="http://schemas.openxmlformats.org/officeDocument/2006/relationships/hyperlink" Target="https://www.nysenate.gov/legislation/bills/2019/S8689" TargetMode="External"/><Relationship Id="rId289" Type="http://schemas.openxmlformats.org/officeDocument/2006/relationships/hyperlink" Target="https://teamkyhherf.ky.gov/" TargetMode="External"/><Relationship Id="rId11" Type="http://schemas.openxmlformats.org/officeDocument/2006/relationships/hyperlink" Target="https://www.mercurynews.com/2020/03/22/coronavirus-san-mateo-county-supervisors-to-vote-on-eviction-ban-assistance-fund/" TargetMode="External"/><Relationship Id="rId32" Type="http://schemas.openxmlformats.org/officeDocument/2006/relationships/hyperlink" Target="https://www.theledger.com/news/20200427/coronavirus-lakeland-approves-930k-for-rent-assistance-to-residents-within-city-limits" TargetMode="External"/><Relationship Id="rId53" Type="http://schemas.openxmlformats.org/officeDocument/2006/relationships/hyperlink" Target="https://www.nj.com/essex/2020/05/newark-giving-low-income-residents-up-to-1k-to-pay-their-rent-as-coronavirus-cripples-economy.html" TargetMode="External"/><Relationship Id="rId74" Type="http://schemas.openxmlformats.org/officeDocument/2006/relationships/hyperlink" Target="https://www.kgw.com/article/news/health/coronavirus/state-making-85-million-available-for-rent-assistance/283-3ddd09cf-9c42-41d2-a198-d9a40fc08d6f" TargetMode="External"/><Relationship Id="rId128" Type="http://schemas.openxmlformats.org/officeDocument/2006/relationships/hyperlink" Target="https://s3.amazonaws.com/fn-document-service/file-by-sha384/32584617dc084f9b3307fb5e34a1f3081e79805cce6b2e9f32189266262406b0d6996b947783fac0552479ae00a51a2e" TargetMode="External"/><Relationship Id="rId149" Type="http://schemas.openxmlformats.org/officeDocument/2006/relationships/hyperlink" Target="https://www1.nyc.gov/office-of-the-mayor/news/290-20/mayor-de-blasio-fair-recovery-taskforce" TargetMode="External"/><Relationship Id="rId314" Type="http://schemas.openxmlformats.org/officeDocument/2006/relationships/hyperlink" Target="https://www.springfield.il.us/Departments/Communications/PressReleasesHandler.ashx?imgid=933" TargetMode="External"/><Relationship Id="rId335" Type="http://schemas.openxmlformats.org/officeDocument/2006/relationships/hyperlink" Target="https://www.theolympian.com/news/local/article246550523.html" TargetMode="External"/><Relationship Id="rId5" Type="http://schemas.openxmlformats.org/officeDocument/2006/relationships/hyperlink" Target="https://www.lamayor.org/sites/g/files/wph446/f/article/files/Mayor%20Garcetti%20Emergency%20Order%20-%20March%2015%202020.pdf" TargetMode="External"/><Relationship Id="rId95" Type="http://schemas.openxmlformats.org/officeDocument/2006/relationships/hyperlink" Target="https://s3.amazonaws.com/fn-document-service/file-by-sha384/277ef4e22ae5413de6ea3c281a7672907a56685b756053452f843fd616a6fe48413d6a7dca0c42e8afe5473317b43a02" TargetMode="External"/><Relationship Id="rId160" Type="http://schemas.openxmlformats.org/officeDocument/2006/relationships/hyperlink" Target="https://www.sanantonio.gov/gpa/News/ArtMID/24373/ArticleID/18786/City-of-San-Antonio-creates-new-25-million-assistance-program-for-residents-impacted-by-COVID-19" TargetMode="External"/><Relationship Id="rId181" Type="http://schemas.openxmlformats.org/officeDocument/2006/relationships/hyperlink" Target="https://www.kusi.com/city-council-passes-covid-19-rental-assistance-program-looks-for-ways-to-fund-it/" TargetMode="External"/><Relationship Id="rId216" Type="http://schemas.openxmlformats.org/officeDocument/2006/relationships/hyperlink" Target="https://www.cityofsantacruz.com/government/city-departments/economic-development/housing-assistance-information/financial-assistance" TargetMode="External"/><Relationship Id="rId237" Type="http://schemas.openxmlformats.org/officeDocument/2006/relationships/hyperlink" Target="https://www.lincoln.ne.gov/city/covid19/resident-resources.htm" TargetMode="External"/><Relationship Id="rId258" Type="http://schemas.openxmlformats.org/officeDocument/2006/relationships/hyperlink" Target="https://malegislature.gov/Bills/191/S2785" TargetMode="External"/><Relationship Id="rId279" Type="http://schemas.openxmlformats.org/officeDocument/2006/relationships/hyperlink" Target="https://gov.texas.gov/news/post/governor-abbott-announces-over-171-million-in-cares-act-funding-for-rental-assistance-texas-eviction-diversion-program" TargetMode="External"/><Relationship Id="rId22" Type="http://schemas.openxmlformats.org/officeDocument/2006/relationships/hyperlink" Target="https://s3.amazonaws.com/fn-document-service/file-by-sha384/ffb020aa86d05d349d1dd15ed44bb6de1752c3610d0e65cf7b94f3ca561995830f3b3ad811a8a45038df7a5387365838" TargetMode="External"/><Relationship Id="rId43" Type="http://schemas.openxmlformats.org/officeDocument/2006/relationships/hyperlink" Target="https://www.baltimoresun.com/coronavirus/cng-ho-rental-food-relief-20200508-kjeowd4knjgydexza5pmzhdfxi-story.html" TargetMode="External"/><Relationship Id="rId64" Type="http://schemas.openxmlformats.org/officeDocument/2006/relationships/hyperlink" Target="https://www.austintexas.gov/edims/document.cfm?id=341927" TargetMode="External"/><Relationship Id="rId118" Type="http://schemas.openxmlformats.org/officeDocument/2006/relationships/hyperlink" Target="https://www.lagrandeobserver.com/coronavirus/rental-assistance-available-in-northeast-oregon/article_e072809e-9c3c-11ea-9676-d38075371624.html" TargetMode="External"/><Relationship Id="rId139" Type="http://schemas.openxmlformats.org/officeDocument/2006/relationships/hyperlink" Target="https://www.postindependent.com/news/garfield-county-extends-cash-assistance-program-for-rent-food-during-covid-19/" TargetMode="External"/><Relationship Id="rId290" Type="http://schemas.openxmlformats.org/officeDocument/2006/relationships/hyperlink" Target="https://www.lewistonmaine.gov/DocumentCenter/View/11277/COVID---EMERGENCY-INCOME-PAYMENT-PROGRAM---RENT-MORTGAGES-UTILITIES" TargetMode="External"/><Relationship Id="rId304" Type="http://schemas.openxmlformats.org/officeDocument/2006/relationships/hyperlink" Target="https://rentrelief.utah.gov/" TargetMode="External"/><Relationship Id="rId325" Type="http://schemas.openxmlformats.org/officeDocument/2006/relationships/hyperlink" Target="https://hudsonriverhousing.org/covid-19-response/" TargetMode="External"/><Relationship Id="rId85" Type="http://schemas.openxmlformats.org/officeDocument/2006/relationships/hyperlink" Target="https://s3.amazonaws.com/fn-document-service/file-by-sha384/8715e892e8913a43e732e7c352b9a82eb4fb750f4c1bed63952887b89f1415dad41df1c3b3ae33069c4c7a7536f384e1" TargetMode="External"/><Relationship Id="rId150" Type="http://schemas.openxmlformats.org/officeDocument/2006/relationships/hyperlink" Target="https://ktla.com/news/local-news/riverside-county-officials-give-covid-19-update-after-state-announces-move-into-reopening-phase-3/" TargetMode="External"/><Relationship Id="rId171" Type="http://schemas.openxmlformats.org/officeDocument/2006/relationships/hyperlink" Target="https://www.theindychannel.com/news/coronavirus/city-of-indianapolis-proposes-76m-in-covid-19-relief" TargetMode="External"/><Relationship Id="rId192" Type="http://schemas.openxmlformats.org/officeDocument/2006/relationships/hyperlink" Target="https://portal.ct.gov/Office-of-the-Governor/News/Press-Releases/2020/06-2020/Governor-Lamont-Announces-Assistance-for-Renters-Homeowners-and-Residential-Landlords" TargetMode="External"/><Relationship Id="rId206" Type="http://schemas.openxmlformats.org/officeDocument/2006/relationships/hyperlink" Target="https://malegislature.gov/Bills/191/HD5199" TargetMode="External"/><Relationship Id="rId227" Type="http://schemas.openxmlformats.org/officeDocument/2006/relationships/hyperlink" Target="https://www.iowafinance.com/covid-19-iowa-eviction-and-foreclosure-prevention-program/" TargetMode="External"/><Relationship Id="rId248" Type="http://schemas.openxmlformats.org/officeDocument/2006/relationships/hyperlink" Target="https://www.spokesman.com/stories/2020/jul/15/spokane-valley-to-allocate-almost-3-million-in-cov/" TargetMode="External"/><Relationship Id="rId269" Type="http://schemas.openxmlformats.org/officeDocument/2006/relationships/hyperlink" Target="https://www.njleg.state.nj.us/2020/Bills/SR/76_I1.HTM" TargetMode="External"/><Relationship Id="rId12" Type="http://schemas.openxmlformats.org/officeDocument/2006/relationships/hyperlink" Target="https://www.mic.com/p/coronavirus-has-led-cities-to-halt-evictions-in-effort-to-protect-public-health-22620114" TargetMode="External"/><Relationship Id="rId33" Type="http://schemas.openxmlformats.org/officeDocument/2006/relationships/hyperlink" Target="https://www.tcpalm.com/story/news/local/shaping-our-future/property-values/2020/05/12/port-st-lucie-creates-covid-19-emergency-housing-assistance-program/3106786001/" TargetMode="External"/><Relationship Id="rId108" Type="http://schemas.openxmlformats.org/officeDocument/2006/relationships/hyperlink" Target="https://www.governor.state.nm.us/wp-content/uploads/2020/04/EO_2020_021.pdf" TargetMode="External"/><Relationship Id="rId129" Type="http://schemas.openxmlformats.org/officeDocument/2006/relationships/hyperlink" Target="https://www.clickorlando.com/news/local/2020/05/26/coronavirus-palm-bay-to-provide-rental-utility-assistance-to-residents-in-need/" TargetMode="External"/><Relationship Id="rId280" Type="http://schemas.openxmlformats.org/officeDocument/2006/relationships/hyperlink" Target="https://encinitasca.gov/Residents/Housing-Resources/NEW-Emergency-Rental-and-Utility-Assistance-Program" TargetMode="External"/><Relationship Id="rId315" Type="http://schemas.openxmlformats.org/officeDocument/2006/relationships/hyperlink" Target="https://www.wishtv.com/news/indiana-reopens-rental-assistance-portal-for-tenants-with-pending-eviction-cases/" TargetMode="External"/><Relationship Id="rId336" Type="http://schemas.openxmlformats.org/officeDocument/2006/relationships/printerSettings" Target="../printerSettings/printerSettings1.bin"/><Relationship Id="rId54" Type="http://schemas.openxmlformats.org/officeDocument/2006/relationships/hyperlink" Target="https://greenvillejournal.com/community/united-way-emergency-housing-assistance-fund-created-provide-shelter-those-in-need-due-to-covid-19/" TargetMode="External"/><Relationship Id="rId75" Type="http://schemas.openxmlformats.org/officeDocument/2006/relationships/hyperlink" Target="https://www.insidernj.com/press-release/city-perth-amboy-approves-reallocation-200000-home-funds-eligible-residents/" TargetMode="External"/><Relationship Id="rId96" Type="http://schemas.openxmlformats.org/officeDocument/2006/relationships/hyperlink" Target="https://www.michigan.gov/whitmer/0,9309,7-387-90499-526478--,00.html" TargetMode="External"/><Relationship Id="rId140" Type="http://schemas.openxmlformats.org/officeDocument/2006/relationships/hyperlink" Target="https://www.idahocountyfreepress.com/news/covid-19/idaho-housing-offers-renter-landlord-assistance/article_6cfef052-8a49-11ea-b784-47d639f97e79.html" TargetMode="External"/><Relationship Id="rId161" Type="http://schemas.openxmlformats.org/officeDocument/2006/relationships/hyperlink" Target="https://www.roseville.ca.us/UserFiles/Servers/File/Government/City%20Manager/COVID-19%20Executive%20Orders/Executive%20Order%2020-02%20FINAL.pdf" TargetMode="External"/><Relationship Id="rId182" Type="http://schemas.openxmlformats.org/officeDocument/2006/relationships/hyperlink" Target="https://www.vcstar.com/story/news/local/2020/06/16/coronavirus-ventura-county-pandemic-rental-assistance-program-california/3192166001/" TargetMode="External"/><Relationship Id="rId217" Type="http://schemas.openxmlformats.org/officeDocument/2006/relationships/hyperlink" Target="https://cdola.colorado.gov/dola/rental-assistance" TargetMode="External"/><Relationship Id="rId6" Type="http://schemas.openxmlformats.org/officeDocument/2006/relationships/hyperlink" Target="https://s3.amazonaws.com/fn-document-service/file-by-sha384/903770ea0ae1f0e84557fd0caeb5ff8797be9bd024c8f305e8ac9fef3a03e429a060ddd6390d510e667ad2a99374d272" TargetMode="External"/><Relationship Id="rId238" Type="http://schemas.openxmlformats.org/officeDocument/2006/relationships/hyperlink" Target="https://www.wgrz.com/article/news/health/coronavirus/new-york-state-announces-covid-19-rental-assistance-program-for-low-income-tenants/71-f7f354b4-e85a-4411-8975-a32f9b0540dc" TargetMode="External"/><Relationship Id="rId259" Type="http://schemas.openxmlformats.org/officeDocument/2006/relationships/hyperlink" Target="https://lims.dccouncil.us/Legislation/PR23-0861" TargetMode="External"/><Relationship Id="rId23" Type="http://schemas.openxmlformats.org/officeDocument/2006/relationships/hyperlink" Target="https://www.lahsa.org/news?article=671-covid-19-guidance-for-los-angeles-county-homeless-services-community" TargetMode="External"/><Relationship Id="rId119" Type="http://schemas.openxmlformats.org/officeDocument/2006/relationships/hyperlink" Target="https://www.wistv.com/2020/05/20/sc-housing-authorizes-million-covid-rental-assistance/" TargetMode="External"/><Relationship Id="rId270" Type="http://schemas.openxmlformats.org/officeDocument/2006/relationships/hyperlink" Target="https://s3.amazonaws.com/fn-document-service/file-by-sha384/60a91cbef69144348c1e7b9cd518540ffdd788a24cfd3fec8102ac7b8dd94f66fd8be61398cccd33f619bf915983bafd" TargetMode="External"/><Relationship Id="rId291" Type="http://schemas.openxmlformats.org/officeDocument/2006/relationships/hyperlink" Target="https://www.mountrainiermd.org/residents/coronavirus-covid-19-resources/covid-19-resources" TargetMode="External"/><Relationship Id="rId305" Type="http://schemas.openxmlformats.org/officeDocument/2006/relationships/hyperlink" Target="https://www.portland.gov/phb/news/2020/9/16/covid-19-rent-relief-program-cvrrp-expanded-partner-network" TargetMode="External"/><Relationship Id="rId326" Type="http://schemas.openxmlformats.org/officeDocument/2006/relationships/hyperlink" Target="https://www.niagara-gazette.com/news/local_news/falls-begins-distributing-covid-grants/article_04e1cddc-ef6b-5574-8adc-7bfc99d4086a.html" TargetMode="External"/><Relationship Id="rId44" Type="http://schemas.openxmlformats.org/officeDocument/2006/relationships/hyperlink" Target="https://www.mymcmedia.org/council-approves-funding-for-covid-19-rental-assistance-and-housing-stabilization/" TargetMode="External"/><Relationship Id="rId65" Type="http://schemas.openxmlformats.org/officeDocument/2006/relationships/hyperlink" Target="https://abc13.com/finance/mayor-to-spend-$15-million-on-rent-relief-for-houstonians/6153361/" TargetMode="External"/><Relationship Id="rId86" Type="http://schemas.openxmlformats.org/officeDocument/2006/relationships/hyperlink" Target="https://s3.amazonaws.com/fn-document-service/file-by-sha384/df2d47391f8c75567eecb7fdaacf0ae45f5a1c29b9c1e4284fd63274ac38ece00bf09a2c5d261c07c6ab3641adb81f38" TargetMode="External"/><Relationship Id="rId130" Type="http://schemas.openxmlformats.org/officeDocument/2006/relationships/hyperlink" Target="http://www.honolulu.gov/cms-dcs-menu/site-dcs-sitearticles/38479-household-hardship-relief-fund-program.html" TargetMode="External"/><Relationship Id="rId151" Type="http://schemas.openxmlformats.org/officeDocument/2006/relationships/hyperlink" Target="https://ctmirror.org/2020/06/03/connecticut-provides-coronavirus-assistance-for-undocumented/" TargetMode="External"/><Relationship Id="rId172" Type="http://schemas.openxmlformats.org/officeDocument/2006/relationships/hyperlink" Target="https://lbpost.com/news/city-will-begin-paying-up-to-1000-in-rent-for-tenants-affected-by-covid-19" TargetMode="External"/><Relationship Id="rId193" Type="http://schemas.openxmlformats.org/officeDocument/2006/relationships/hyperlink" Target="https://www.floridahousing.org/press/press-releases/releases/2020/2020/06/26/press-releases/governor-ron-desantis-announces-$250-million-for-affordable-housing-coronavirus-relief-initiative" TargetMode="External"/><Relationship Id="rId207" Type="http://schemas.openxmlformats.org/officeDocument/2006/relationships/hyperlink" Target="https://nyassembly.gov/leg/?default_fld=&amp;leg_video=&amp;bn=A10848&amp;term=2019&amp;Summary=Y&amp;Actions=Y" TargetMode="External"/><Relationship Id="rId228" Type="http://schemas.openxmlformats.org/officeDocument/2006/relationships/hyperlink" Target="https://louisvilleky.gov/government/develop-louisville/eviction-prevention" TargetMode="External"/><Relationship Id="rId249" Type="http://schemas.openxmlformats.org/officeDocument/2006/relationships/hyperlink" Target="https://www.co.pierce.wa.us/4701/Housing-Assistance-and-Programs" TargetMode="External"/><Relationship Id="rId13" Type="http://schemas.openxmlformats.org/officeDocument/2006/relationships/hyperlink" Target="https://www.dca.ga.gov/safe-affordable-housing/rental-housing-development/compliance-monitoring/hfd-development-covid-19" TargetMode="External"/><Relationship Id="rId109" Type="http://schemas.openxmlformats.org/officeDocument/2006/relationships/hyperlink" Target="https://www.sccourts.org/whatsnew/displayWhatsNew.cfm?indexId=2461" TargetMode="External"/><Relationship Id="rId260" Type="http://schemas.openxmlformats.org/officeDocument/2006/relationships/hyperlink" Target="http://www.legislature.mi.gov/(S(x5bttc1fwetdw0jpqe42dcy1))/mileg.aspx?page=GetObject&amp;objectname=2020-SCR-0027" TargetMode="External"/><Relationship Id="rId281" Type="http://schemas.openxmlformats.org/officeDocument/2006/relationships/hyperlink" Target="https://www.glendaleca.gov/government/departments/community-development/housing/erap" TargetMode="External"/><Relationship Id="rId316" Type="http://schemas.openxmlformats.org/officeDocument/2006/relationships/hyperlink" Target="https://kshousingcorp.org/eviction-prevention-program/" TargetMode="External"/><Relationship Id="rId34" Type="http://schemas.openxmlformats.org/officeDocument/2006/relationships/hyperlink" Target="https://bigislandnow.com/2020/04/26/dhhl-offers-emergency-rental-assistance/" TargetMode="External"/><Relationship Id="rId55" Type="http://schemas.openxmlformats.org/officeDocument/2006/relationships/hyperlink" Target="https://www.news5cleveland.com/news/continuing-coverage/coronavirus/local-coronavirus-news/new-11-million-rental-assistance-program-aims-to-help-cleveland-tenants-landlords-and-economy" TargetMode="External"/><Relationship Id="rId76" Type="http://schemas.openxmlformats.org/officeDocument/2006/relationships/hyperlink" Target="https://www.miamiherald.com/news/local/community/miami-dade/miami-beach/article242740811.html" TargetMode="External"/><Relationship Id="rId97" Type="http://schemas.openxmlformats.org/officeDocument/2006/relationships/hyperlink" Target="https://www.wdsu.com/article/louisiana-governor-creating-task-force-to-address-racial-disparities-in-covid-19-crisis/32111136" TargetMode="External"/><Relationship Id="rId120" Type="http://schemas.openxmlformats.org/officeDocument/2006/relationships/hyperlink" Target="https://dentonrc.com/coronavirus_outbreak/united-way-expands-program-to-help-people-financially-impacted-by-covid-19/article_82f5ec72-bc9f-5142-b4e7-46fe384dbc37.html" TargetMode="External"/><Relationship Id="rId141" Type="http://schemas.openxmlformats.org/officeDocument/2006/relationships/hyperlink" Target="https://richmondstandard.com/community/2020/05/05/covid-19-housing-assistance-grant-available-for-san-pablo-residents/" TargetMode="External"/><Relationship Id="rId7" Type="http://schemas.openxmlformats.org/officeDocument/2006/relationships/hyperlink" Target="https://s3.amazonaws.com/fn-document-service/file-by-sha384/21cbc081de567b4d0b76e81b4114e483342b8cce8575b72ba55d18d8d0bffa876e990bd8861ddd5f8f8061613c041a2d" TargetMode="External"/><Relationship Id="rId162" Type="http://schemas.openxmlformats.org/officeDocument/2006/relationships/hyperlink" Target="https://www.sandiego.gov/mayor/news/releases/mayor-landlords-help-us-house-homeless-seniors-veterans-individuals" TargetMode="External"/><Relationship Id="rId183" Type="http://schemas.openxmlformats.org/officeDocument/2006/relationships/hyperlink" Target="https://www.commbuys.com/bso/external/bidDetail.sdo?bidId=BD-20-1076-OCDDE-OCD01-51656&amp;parentUrl=activeBids" TargetMode="External"/><Relationship Id="rId218" Type="http://schemas.openxmlformats.org/officeDocument/2006/relationships/hyperlink" Target="https://www.coloradoan.com/story/news/2020/06/22/colorado-coronavirus-polis-signs-bills-provide-additional-relief/3239339001/" TargetMode="External"/><Relationship Id="rId239" Type="http://schemas.openxmlformats.org/officeDocument/2006/relationships/hyperlink" Target="https://ohiohome.org/documents/COVID-19-EmergencyHousingProgramGuidelines.pdf" TargetMode="External"/><Relationship Id="rId250" Type="http://schemas.openxmlformats.org/officeDocument/2006/relationships/hyperlink" Target="https://www.yaktrinews.com/city-of-ellensburg-dedicates-75000-in-cares-funding-to-rental-assistance/" TargetMode="External"/><Relationship Id="rId271" Type="http://schemas.openxmlformats.org/officeDocument/2006/relationships/hyperlink" Target="https://s3.amazonaws.com/fn-document-service/file-by-sha384/238ac0abb6bd7c2a2115e04b7fa156cda767fdd4250560c1fd105338c820820ea6677695dad43d1ece179309c0f2abcc" TargetMode="External"/><Relationship Id="rId292" Type="http://schemas.openxmlformats.org/officeDocument/2006/relationships/hyperlink" Target="https://s3.amazonaws.com/fn-document-service/file-by-sha384/6b8803658bbfef761076a42310a41693a1af487474306f39f8d86deef1a0a27f3132c0083f52b7c554ce9b39e259d7c2" TargetMode="External"/><Relationship Id="rId306" Type="http://schemas.openxmlformats.org/officeDocument/2006/relationships/hyperlink" Target="https://s3.amazonaws.com/fn-document-service/file-by-sha384/cfa6da22d3ba6fec20964d8979abeee623b79d2e6526fe6e391ea6168ee46a39a048a4edc377bf4812e160aa506ac136" TargetMode="External"/><Relationship Id="rId24" Type="http://schemas.openxmlformats.org/officeDocument/2006/relationships/hyperlink" Target="https://www.sccgov.org/sites/covid19/Pages/homeless-response.aspx" TargetMode="External"/><Relationship Id="rId45" Type="http://schemas.openxmlformats.org/officeDocument/2006/relationships/hyperlink" Target="https://www.cambridgema.gov/covid19/mayorsfundapplication" TargetMode="External"/><Relationship Id="rId66" Type="http://schemas.openxmlformats.org/officeDocument/2006/relationships/hyperlink" Target="https://www.kuer.org/post/moab-creates-rent-assistance-fund-residents-facing-crippling-bills-after-tourism-shutdown" TargetMode="External"/><Relationship Id="rId87" Type="http://schemas.openxmlformats.org/officeDocument/2006/relationships/hyperlink" Target="https://s3.amazonaws.com/fn-document-service/file-by-sha384/17360304588928e4b8424ac97ae99178b51ea7f47c80d459ae2a3e116bd3f681a2ae628cbce12c3d9e53dfb876f935b6" TargetMode="External"/><Relationship Id="rId110" Type="http://schemas.openxmlformats.org/officeDocument/2006/relationships/hyperlink" Target="https://courts.mt.gov/Portals/189/virus/Ltr%20to%20COLJ%20Judges%20re%20COVID-19%20032020.pdf?ver=2020-03-20-115517-333" TargetMode="External"/><Relationship Id="rId131" Type="http://schemas.openxmlformats.org/officeDocument/2006/relationships/hyperlink" Target="https://housingactionil.org/blog/2020/05/26/2020-general-assembly-wrap-up/" TargetMode="External"/><Relationship Id="rId327" Type="http://schemas.openxmlformats.org/officeDocument/2006/relationships/hyperlink" Target="http://www.wakegov.com/housing/Pages/default.aspx" TargetMode="External"/><Relationship Id="rId152" Type="http://schemas.openxmlformats.org/officeDocument/2006/relationships/hyperlink" Target="https://ithacavoice.com/2020/06/rental-assistance-program-will-launch-june-15/" TargetMode="External"/><Relationship Id="rId173" Type="http://schemas.openxmlformats.org/officeDocument/2006/relationships/hyperlink" Target="https://www.kusi.com/el-cajon-mayor-bill-wells-on-the-citys-new-rental-and-utility-assistance-program/" TargetMode="External"/><Relationship Id="rId194" Type="http://schemas.openxmlformats.org/officeDocument/2006/relationships/hyperlink" Target="https://www.lasvegasnevada.gov/Residents/Housing-Assistance-Program?utm_medium=email&amp;utm_source=govdelivery" TargetMode="External"/><Relationship Id="rId208" Type="http://schemas.openxmlformats.org/officeDocument/2006/relationships/hyperlink" Target="https://www.jcceo.org/csbg" TargetMode="External"/><Relationship Id="rId229" Type="http://schemas.openxmlformats.org/officeDocument/2006/relationships/hyperlink" Target="https://portlandmaine.gov/775/Housing-and-Community-Development" TargetMode="External"/><Relationship Id="rId240" Type="http://schemas.openxmlformats.org/officeDocument/2006/relationships/hyperlink" Target="https://www.readingpa.gov/content/reading-human-relations-commission-launches-emergency-rental-assistance-program-prevent" TargetMode="External"/><Relationship Id="rId261" Type="http://schemas.openxmlformats.org/officeDocument/2006/relationships/hyperlink" Target="https://www.revisor.mn.gov/bills/text.php?number=HF160&amp;version=0&amp;session=ls91&amp;session_year=2020&amp;session_number=1" TargetMode="External"/><Relationship Id="rId14" Type="http://schemas.openxmlformats.org/officeDocument/2006/relationships/hyperlink" Target="http://www.guamlegislature.com/Bill_History_35th/STATUS%20Bill%20No.%20340-35%20(COR).pdf" TargetMode="External"/><Relationship Id="rId35" Type="http://schemas.openxmlformats.org/officeDocument/2006/relationships/hyperlink" Target="https://www.courierpress.com/story/news/local/2020/04/23/rent-assistance-among-uses-covid-19-economic-relief-evansville/3012673001/" TargetMode="External"/><Relationship Id="rId56" Type="http://schemas.openxmlformats.org/officeDocument/2006/relationships/hyperlink" Target="https://www.kdrv.com/content/news/Oregon-lawmakers-set-to-put-34-million-toward-COVID-19-assistance-in-the-state-569861871.html" TargetMode="External"/><Relationship Id="rId77" Type="http://schemas.openxmlformats.org/officeDocument/2006/relationships/hyperlink" Target="https://s3.amazonaws.com/fn-document-service/file-by-sha384/7a9055dc630f424d8f6f8e8701436fce84aba401581f85f8c8959877103ee4d3eb5d3ac923006ab9d1af01127b46dec6" TargetMode="External"/><Relationship Id="rId100" Type="http://schemas.openxmlformats.org/officeDocument/2006/relationships/hyperlink" Target="https://www.thedickinsonpress.com/news/crime-and-courts/5009882-North-Dakota-paroles-56-prisoners-early-amid-pandemic-including-3-convicted-of-sexual-assault" TargetMode="External"/><Relationship Id="rId282" Type="http://schemas.openxmlformats.org/officeDocument/2006/relationships/hyperlink" Target="https://www.cityofirvine.org/news-media/news-article/rental-assistance-program-reopen-september-21" TargetMode="External"/><Relationship Id="rId317" Type="http://schemas.openxmlformats.org/officeDocument/2006/relationships/hyperlink" Target="https://www.ramseycounty.us/landlordassistance" TargetMode="External"/><Relationship Id="rId8" Type="http://schemas.openxmlformats.org/officeDocument/2006/relationships/hyperlink" Target="https://www.mercurynews.com/2020/03/22/coronavirus-san-mateo-county-supervisors-to-vote-on-eviction-ban-assistance-fund/" TargetMode="External"/><Relationship Id="rId51" Type="http://schemas.openxmlformats.org/officeDocument/2006/relationships/hyperlink" Target="https://wgem.com/2020/04/30/missouri-governor-highlights-covid-19-housing-assistance/" TargetMode="External"/><Relationship Id="rId72" Type="http://schemas.openxmlformats.org/officeDocument/2006/relationships/hyperlink" Target="https://oilcity.news/community/2020/05/16/wyoming-legislature-authorize-covid-19-rent-assistance-and-protections-for-employers/" TargetMode="External"/><Relationship Id="rId93" Type="http://schemas.openxmlformats.org/officeDocument/2006/relationships/hyperlink" Target="https://s3.amazonaws.com/fn-document-service/file-by-sha384/0001a671085dfccb5b0470b7d6cc962060f17c9a791471ebfc8926a1e17d22cc76c6edffd7fe8362b7a417b555704108" TargetMode="External"/><Relationship Id="rId98" Type="http://schemas.openxmlformats.org/officeDocument/2006/relationships/hyperlink" Target="https://indianapublicmedia.org/news/racial-disparity-task-force-on-covid-19-assembled.php" TargetMode="External"/><Relationship Id="rId121" Type="http://schemas.openxmlformats.org/officeDocument/2006/relationships/hyperlink" Target="https://www.alxnow.com/2020/05/21/alexandria-now-offering-emergency-rent-relief-for-residents-affected-by-covid-19/" TargetMode="External"/><Relationship Id="rId142" Type="http://schemas.openxmlformats.org/officeDocument/2006/relationships/hyperlink" Target="https://www.mlive.com/news/ann-arbor/2020/04/ann-arbor-funds-back-payed-rent-of-112-housing-commission-tenants-amid-covid-19-concerns.html" TargetMode="External"/><Relationship Id="rId163" Type="http://schemas.openxmlformats.org/officeDocument/2006/relationships/hyperlink" Target="https://sfmayor.org/article/mayor-london-breed-and-adult-probation-department-announce-supportive-housing-program-people" TargetMode="External"/><Relationship Id="rId184" Type="http://schemas.openxmlformats.org/officeDocument/2006/relationships/hyperlink" Target="https://www.localnewsdigital.com/2020/06/25/gov-holcomb-announced-covid-19-rental-assistance/" TargetMode="External"/><Relationship Id="rId189" Type="http://schemas.openxmlformats.org/officeDocument/2006/relationships/hyperlink" Target="https://www.nbc15.com/2020/06/23/rental-assistance-program-open-for-applications/" TargetMode="External"/><Relationship Id="rId219" Type="http://schemas.openxmlformats.org/officeDocument/2006/relationships/hyperlink" Target="https://denverite.com/2020/07/13/denver-earmarks-federal-covid-19-relief-funds-for-rent-utility-and-mortgage-assistance-programs/" TargetMode="External"/><Relationship Id="rId3" Type="http://schemas.openxmlformats.org/officeDocument/2006/relationships/hyperlink" Target="https://www.tucsonweekly.com/TheRange/archives/2020/03/18/pima-county-constables-no-evictions-during-covid-19-outbreak" TargetMode="External"/><Relationship Id="rId214" Type="http://schemas.openxmlformats.org/officeDocument/2006/relationships/hyperlink" Target="https://www.cityofpasadena.net/housing/emergency-rental-assistance-program/" TargetMode="External"/><Relationship Id="rId230" Type="http://schemas.openxmlformats.org/officeDocument/2006/relationships/hyperlink" Target="https://dhcd.maryland.gov/Pages/EvictionPrevention/default.aspx" TargetMode="External"/><Relationship Id="rId235" Type="http://schemas.openxmlformats.org/officeDocument/2006/relationships/hyperlink" Target="https://www.revere.org/departments/public-health-division/coronavirus/covid-19-rental-assistance" TargetMode="External"/><Relationship Id="rId251" Type="http://schemas.openxmlformats.org/officeDocument/2006/relationships/hyperlink" Target="https://communityadvocates.net/what-we-do/rent-assistance.html" TargetMode="External"/><Relationship Id="rId256" Type="http://schemas.openxmlformats.org/officeDocument/2006/relationships/hyperlink" Target="https://lims.dccouncil.us/Legislation/B23-0869" TargetMode="External"/><Relationship Id="rId277" Type="http://schemas.openxmlformats.org/officeDocument/2006/relationships/hyperlink" Target="https://www.colorado.gov/governor/sites/default/files/inline-files/B%202020%20006%20Special%20Eviction%20Prevention%20Task%20Force.pdf" TargetMode="External"/><Relationship Id="rId298" Type="http://schemas.openxmlformats.org/officeDocument/2006/relationships/hyperlink" Target="https://spokaneresourcecenter.org/covid-19/housing" TargetMode="External"/><Relationship Id="rId25" Type="http://schemas.openxmlformats.org/officeDocument/2006/relationships/hyperlink" Target="https://www.nbcdfw.com/news/coronavirus/fort-worth-to-provide-15-4m-for-rent-utility-relief-to-families-struggling-due-to-covid-19/2364739/" TargetMode="External"/><Relationship Id="rId46" Type="http://schemas.openxmlformats.org/officeDocument/2006/relationships/hyperlink" Target="https://www.iberkshires.com/story/62074/Williamstown-Housing-Trust-to-Partner-with-Berkshire-Housing-on-Rental-Assistance-Program.html" TargetMode="External"/><Relationship Id="rId67" Type="http://schemas.openxmlformats.org/officeDocument/2006/relationships/hyperlink" Target="https://www.abc4.com/news/local-news/rental-assistance-program-to-launch-monday/" TargetMode="External"/><Relationship Id="rId116" Type="http://schemas.openxmlformats.org/officeDocument/2006/relationships/hyperlink" Target="http://www.nd.gov/dhs/info/covid-19/rent-bridge.html" TargetMode="External"/><Relationship Id="rId137" Type="http://schemas.openxmlformats.org/officeDocument/2006/relationships/hyperlink" Target="https://lonestarlegal.blog/2020/05/29/fort-bend-county-to-distribute-19-5-million-for-rent-mortgage-and-utility-relief/" TargetMode="External"/><Relationship Id="rId158" Type="http://schemas.openxmlformats.org/officeDocument/2006/relationships/hyperlink" Target="https://www.stltoday.com/news/local/govt-and-politics/krewson-outlines-proposed-64-million-covid-19-relief-package/article_4fbebdeb-dd52-5643-bfbc-6d5a739a1418.html" TargetMode="External"/><Relationship Id="rId272" Type="http://schemas.openxmlformats.org/officeDocument/2006/relationships/hyperlink" Target="https://www.oaklandca.gov/news/2020/oaklands-mid-cycle-budget-cuts-14-3-million-from-police-budget-invests-additional-50-million-to-address-racial-disparities" TargetMode="External"/><Relationship Id="rId293" Type="http://schemas.openxmlformats.org/officeDocument/2006/relationships/hyperlink" Target="https://www.arlingtonma.gov/departments/health-human-services/health-department/coronavirus-information/resources-and-assistance" TargetMode="External"/><Relationship Id="rId302" Type="http://schemas.openxmlformats.org/officeDocument/2006/relationships/hyperlink" Target="https://www.lhc.la.gov/larenthelp?eType=EmailBlastContent&amp;eId=c4766809-66f9-4b34-b8f0-be7f3d7da627" TargetMode="External"/><Relationship Id="rId307" Type="http://schemas.openxmlformats.org/officeDocument/2006/relationships/hyperlink" Target="http://www.ccsak.org/cbjgrant.html" TargetMode="External"/><Relationship Id="rId323" Type="http://schemas.openxmlformats.org/officeDocument/2006/relationships/hyperlink" Target="https://www.tapinto.net/towns/newark/sections/essex-county-news/articles/essex-county-residents-can-apply-for-5-5m-emergency-rental-assistance-program-this-october" TargetMode="External"/><Relationship Id="rId328" Type="http://schemas.openxmlformats.org/officeDocument/2006/relationships/hyperlink" Target="https://www.cul.org/preventing-a-housing-crisis-emergency-assistance/" TargetMode="External"/><Relationship Id="rId20" Type="http://schemas.openxmlformats.org/officeDocument/2006/relationships/hyperlink" Target="https://s3.amazonaws.com/fn-document-service/file-by-sha384/4d5689c47d3d38267874cfbb4e482a6a851e98e477bfc6d8296ecb3411710bfe4f67ee8af65b8bb4d9a1effebd75600c" TargetMode="External"/><Relationship Id="rId41" Type="http://schemas.openxmlformats.org/officeDocument/2006/relationships/hyperlink" Target="https://foxbaltimore.com/news/local/mayor-young-commits-13-million-to-a-temporary-rental-assistance-program" TargetMode="External"/><Relationship Id="rId62" Type="http://schemas.openxmlformats.org/officeDocument/2006/relationships/hyperlink" Target="https://www.austinmonitor.com/stories/2020/05/travis-county-approves-10m-for-direct-rental-and-mortgage-assistance/" TargetMode="External"/><Relationship Id="rId83" Type="http://schemas.openxmlformats.org/officeDocument/2006/relationships/hyperlink" Target="https://s3.amazonaws.com/fn-document-service/file-by-sha384/b9ee83061353f705254107850fd8336c2c2cf04b463f6769d44085e2d513e30a3676361dc30e10fb42331461332dcf7a" TargetMode="External"/><Relationship Id="rId88" Type="http://schemas.openxmlformats.org/officeDocument/2006/relationships/hyperlink" Target="https://s3.amazonaws.com/fn-document-service/file-by-sha384/218bb1710035013a800e0490465f4fa4d2f4762ef521ba01a19d704b121f4651b7dde3a48d669dbb8f2822b3bfd5e0ae" TargetMode="External"/><Relationship Id="rId111" Type="http://schemas.openxmlformats.org/officeDocument/2006/relationships/hyperlink" Target="http://www.courts.wa.gov/content/publicUpload/Supreme%20Court%20Orders/Supreme%20Court%20Emergency%20Order%20re%20CV19%20031820.pdf" TargetMode="External"/><Relationship Id="rId132" Type="http://schemas.openxmlformats.org/officeDocument/2006/relationships/hyperlink" Target="https://jerseydigs.com/new-jersey-passes-100-million-covid-19-rent-relief-bill/" TargetMode="External"/><Relationship Id="rId153" Type="http://schemas.openxmlformats.org/officeDocument/2006/relationships/hyperlink" Target="https://www.kptv.com/news/oregon-lawmakers-approved-247-million-for-covid-19-recovery/article_ba4e95b6-a852-11ea-b6bb-7fcdb6334475.html" TargetMode="External"/><Relationship Id="rId174" Type="http://schemas.openxmlformats.org/officeDocument/2006/relationships/hyperlink" Target="https://www.myclearwater.com/government/city-departments/economic-development/rental-mortgage-and-utility-assistance" TargetMode="External"/><Relationship Id="rId179" Type="http://schemas.openxmlformats.org/officeDocument/2006/relationships/hyperlink" Target="https://s3.amazonaws.com/fn-document-service/file-by-sha384/5d9013c5f02c04746a73163175c7d18ab6e091b941643b8f41f6bde4c4659fcdc6be28bd36a7f178ea69ce2391013f97" TargetMode="External"/><Relationship Id="rId195" Type="http://schemas.openxmlformats.org/officeDocument/2006/relationships/hyperlink" Target="http://www.cityofnorthlasvegas.com/departments/ldcs/covid-19_relief_programs.php" TargetMode="External"/><Relationship Id="rId209" Type="http://schemas.openxmlformats.org/officeDocument/2006/relationships/hyperlink" Target="https://www.goodyearaz.gov/Home/Components/News/News/11638/1549?backlist=%2F" TargetMode="External"/><Relationship Id="rId190" Type="http://schemas.openxmlformats.org/officeDocument/2006/relationships/hyperlink" Target="https://www.weau.com/content/news/Rental-assistance-amid-COVID-19-pandemic-571447921.html" TargetMode="External"/><Relationship Id="rId204" Type="http://schemas.openxmlformats.org/officeDocument/2006/relationships/hyperlink" Target="https://www.njleg.state.nj.us/2020/Bills/S3000/2516_I1.HTM" TargetMode="External"/><Relationship Id="rId220" Type="http://schemas.openxmlformats.org/officeDocument/2006/relationships/hyperlink" Target="https://www.osceola.org/agencies-departments/human-services/housing/" TargetMode="External"/><Relationship Id="rId225" Type="http://schemas.openxmlformats.org/officeDocument/2006/relationships/hyperlink" Target="https://cook-county.legistar.com/LegislationDetail.aspx?ID=4591833&amp;GUID=2380D4FD-71CD-44AA-8D6E-79821D8B3B8F&amp;Options=&amp;Search=&amp;FullText=1" TargetMode="External"/><Relationship Id="rId241" Type="http://schemas.openxmlformats.org/officeDocument/2006/relationships/hyperlink" Target="https://www.nbcboston.com/news/coronavirus/gov-raimondo-to-provide-update-on-coronavirus-in-ri-4/2157159/" TargetMode="External"/><Relationship Id="rId246" Type="http://schemas.openxmlformats.org/officeDocument/2006/relationships/hyperlink" Target="https://henrico.us/services/henrico-covid-19-emergency-rental-assistance/" TargetMode="External"/><Relationship Id="rId267" Type="http://schemas.openxmlformats.org/officeDocument/2006/relationships/hyperlink" Target="https://nebraskalegislature.gov/bills/view_bill.php?DocumentID=43064" TargetMode="External"/><Relationship Id="rId288" Type="http://schemas.openxmlformats.org/officeDocument/2006/relationships/hyperlink" Target="https://www.normal.org/1487/COVID-19-Related-Housing-Assistance-Prog" TargetMode="External"/><Relationship Id="rId15" Type="http://schemas.openxmlformats.org/officeDocument/2006/relationships/hyperlink" Target="https://www.boston.gov/news/subsidized-housing-be-created-1000-boston-public-schools-families-risk-displacement" TargetMode="External"/><Relationship Id="rId36" Type="http://schemas.openxmlformats.org/officeDocument/2006/relationships/hyperlink" Target="https://www.wqad.com/article/news/health/coronavirus/davenport-offers-rental-assistance-in-wake-of-covid-19-pandemic-other-resources-available/526-6003ff61-418b-4dc9-b0bb-81e67b1d740a" TargetMode="External"/><Relationship Id="rId57" Type="http://schemas.openxmlformats.org/officeDocument/2006/relationships/hyperlink" Target="https://mailtribune.com/news/top-stories/covid-19-relief-will-help-shore-up-jackson-county-rent-assistance-programs" TargetMode="External"/><Relationship Id="rId106" Type="http://schemas.openxmlformats.org/officeDocument/2006/relationships/hyperlink" Target="https://governor.ohio.gov/wps/portal/gov/governor/media/news-and-media/testing-supplies-ppe-sanitizing-inmate-release-recommendation-remote-learning-guide" TargetMode="External"/><Relationship Id="rId127" Type="http://schemas.openxmlformats.org/officeDocument/2006/relationships/hyperlink" Target="https://s3.amazonaws.com/fn-document-service/file-by-sha384/c8257cd18c34333eafdd6da43b965c52259191bfede7ca4648f46b5bdce99a3e97c6669171a12a41c607b238f347e34f" TargetMode="External"/><Relationship Id="rId262" Type="http://schemas.openxmlformats.org/officeDocument/2006/relationships/hyperlink" Target="https://ilga.gov/legislation/BillStatus.asp?DocNum=866&amp;GAID=15&amp;DocTypeID=HR&amp;LegId=127000&amp;SessionID=108&amp;GA=101" TargetMode="External"/><Relationship Id="rId283" Type="http://schemas.openxmlformats.org/officeDocument/2006/relationships/hyperlink" Target="https://covid-19-rental-assistance.sandiegocounty.gov/home/index" TargetMode="External"/><Relationship Id="rId313" Type="http://schemas.openxmlformats.org/officeDocument/2006/relationships/hyperlink" Target="https://apps.miamibeachfl.gov/housing" TargetMode="External"/><Relationship Id="rId318" Type="http://schemas.openxmlformats.org/officeDocument/2006/relationships/hyperlink" Target="http://billstatus.ls.state.ms.us/2020/PDF/history/HB/HB1810.xml" TargetMode="External"/><Relationship Id="rId10" Type="http://schemas.openxmlformats.org/officeDocument/2006/relationships/hyperlink" Target="https://s3.amazonaws.com/fn-document-service/file-by-sha384/989a6a7e3037c9aabf1738141a513d211bd967251723bb0c9b88ad758fdb708bec20d4ced7b5bbd34401d4e1aad02365" TargetMode="External"/><Relationship Id="rId31" Type="http://schemas.openxmlformats.org/officeDocument/2006/relationships/hyperlink" Target="https://www.news-journalonline.com/news/20200507/coronavirus-daytona-beach-residents-can-apply-for-rent-relief" TargetMode="External"/><Relationship Id="rId52" Type="http://schemas.openxmlformats.org/officeDocument/2006/relationships/hyperlink" Target="https://www.havredailynews.com/story/2020/04/21/local/hrdc-has-covid-19-rental-assistance-available/528556.html" TargetMode="External"/><Relationship Id="rId73" Type="http://schemas.openxmlformats.org/officeDocument/2006/relationships/hyperlink" Target="https://www.wmbfnews.com/2020/05/18/horry-county-receives-funding-help-those-struggling-pay-rent-due-covid-/" TargetMode="External"/><Relationship Id="rId78" Type="http://schemas.openxmlformats.org/officeDocument/2006/relationships/hyperlink" Target="https://s3.amazonaws.com/fn-document-service/file-by-sha384/e1708a2093e0a4e6e748e1edb4f4bd88af8687d0b5c2e5dc3097eedf075155a8154e538beaf7bd2974b9545b62297899" TargetMode="External"/><Relationship Id="rId94" Type="http://schemas.openxmlformats.org/officeDocument/2006/relationships/hyperlink" Target="https://s3.amazonaws.com/fn-document-service/file-by-sha384/0001a671085dfccb5b0470b7d6cc962060f17c9a791471ebfc8926a1e17d22cc76c6edffd7fe8362b7a417b555704108" TargetMode="External"/><Relationship Id="rId99" Type="http://schemas.openxmlformats.org/officeDocument/2006/relationships/hyperlink" Target="https://www.oaklandca.gov/news/2020/local-leaders-announce-covid-19-racial-disparities-task-force" TargetMode="External"/><Relationship Id="rId101" Type="http://schemas.openxmlformats.org/officeDocument/2006/relationships/hyperlink" Target="https://www2.illinois.gov/sites/coronavirus/Resources/Pages/ExecutiveOrder2020-11.aspx" TargetMode="External"/><Relationship Id="rId122" Type="http://schemas.openxmlformats.org/officeDocument/2006/relationships/hyperlink" Target="https://fox6now.com/2020/05/20/gov-evers-announces-25-million-wisconsin-rental-assistance-program/" TargetMode="External"/><Relationship Id="rId143" Type="http://schemas.openxmlformats.org/officeDocument/2006/relationships/hyperlink" Target="https://www.dallasnews.com/news/public-health/2020/04/22/dallas-to-give-millions-for-rent-mortgage-help-and-small-business-aid-eviction-protections-approved/" TargetMode="External"/><Relationship Id="rId148" Type="http://schemas.openxmlformats.org/officeDocument/2006/relationships/hyperlink" Target="https://malegislature.gov/Bills/191/S2695" TargetMode="External"/><Relationship Id="rId164" Type="http://schemas.openxmlformats.org/officeDocument/2006/relationships/hyperlink" Target="https://www.phoenix.gov/newsroom/mayors-office/1148" TargetMode="External"/><Relationship Id="rId169" Type="http://schemas.openxmlformats.org/officeDocument/2006/relationships/hyperlink" Target="https://www.wvlt.tv/content/news/New-program-aims-to-help--571128011.html" TargetMode="External"/><Relationship Id="rId185" Type="http://schemas.openxmlformats.org/officeDocument/2006/relationships/hyperlink" Target="https://governor.maryland.gov/2020/06/26/governor-hogan-announces-30-million-in-funding-for-eviction-prevention-assistance/" TargetMode="External"/><Relationship Id="rId334" Type="http://schemas.openxmlformats.org/officeDocument/2006/relationships/hyperlink" Target="https://cbsaustin.com/news/local/salvation-army-williamson-county-offers-assistance-for-residents-impacted-by-covid-19" TargetMode="External"/><Relationship Id="rId4" Type="http://schemas.openxmlformats.org/officeDocument/2006/relationships/hyperlink" Target="https://s3.amazonaws.com/fn-document-service/file-by-sha384/fb3a1862a290124a42f28d6e2f208747ea539282f9c111e90b62bf604266cdf0358afe0c55947e52bc510cb79ec0b5d7" TargetMode="External"/><Relationship Id="rId9" Type="http://schemas.openxmlformats.org/officeDocument/2006/relationships/hyperlink" Target="https://www.gov.ca.gov/2020/03/18/governor-newsom-takes-emergency-actions-authorizes-150-million-in-funding-to-protect-homeless-californians-from-covid-19/" TargetMode="External"/><Relationship Id="rId180" Type="http://schemas.openxmlformats.org/officeDocument/2006/relationships/hyperlink" Target="https://s3.amazonaws.com/fn-document-service/file-by-sha384/56016097f4c63efeb26f9c9cecdcc9d354f819fbc06d4d579c5cd8d5a4c3d08ce11770a0ed87298d548aa8256c69ae4c" TargetMode="External"/><Relationship Id="rId210" Type="http://schemas.openxmlformats.org/officeDocument/2006/relationships/hyperlink" Target="https://www.applevalley.org/services/emergency-rental-assistance" TargetMode="External"/><Relationship Id="rId215" Type="http://schemas.openxmlformats.org/officeDocument/2006/relationships/hyperlink" Target="https://www.santaclaraca.gov/our-city/departments-a-f/community-development/housing-community-services-division/emergency-rental-assistance" TargetMode="External"/><Relationship Id="rId236" Type="http://schemas.openxmlformats.org/officeDocument/2006/relationships/hyperlink" Target="https://www.michigan.gov/mshda/0,4641,7-141-5555-533463--,00.html" TargetMode="External"/><Relationship Id="rId257" Type="http://schemas.openxmlformats.org/officeDocument/2006/relationships/hyperlink" Target="https://www.nysenate.gov/legislation/bills/2019/S8802" TargetMode="External"/><Relationship Id="rId278" Type="http://schemas.openxmlformats.org/officeDocument/2006/relationships/hyperlink" Target="https://s3.amazonaws.com/fn-document-service/file-by-sha384/eccef604081957c698d20291db4721737db627d77bc26c00bf5c640be4e56906f9aa1d5c849e23ce749972a0585318fd" TargetMode="External"/><Relationship Id="rId26" Type="http://schemas.openxmlformats.org/officeDocument/2006/relationships/hyperlink" Target="https://www.adn.com/alaska-news/anchorage/2020/05/05/anchorage-assembly-backs-mayors-plan-to-give-financial-assistance-to-small-businesses-and-renters/" TargetMode="External"/><Relationship Id="rId231" Type="http://schemas.openxmlformats.org/officeDocument/2006/relationships/hyperlink" Target="https://www.thereligiouscoalition.org/covid-emergency-rental-assistance/" TargetMode="External"/><Relationship Id="rId252" Type="http://schemas.openxmlformats.org/officeDocument/2006/relationships/hyperlink" Target="https://www.lsswis.org/LSS/Programs-Services/Housing-Homelessness" TargetMode="External"/><Relationship Id="rId273" Type="http://schemas.openxmlformats.org/officeDocument/2006/relationships/hyperlink" Target="https://www.oaklandca.gov/news/2020/oaklands-mid-cycle-budget-cuts-14-3-million-from-police-budget-invests-additional-50-million-to-address-racial-disparities" TargetMode="External"/><Relationship Id="rId294" Type="http://schemas.openxmlformats.org/officeDocument/2006/relationships/hyperlink" Target="https://www.ashlandmass.com/826/COVID-19-RentalMortgage-Assistance-Progr" TargetMode="External"/><Relationship Id="rId308" Type="http://schemas.openxmlformats.org/officeDocument/2006/relationships/hyperlink" Target="https://piatribal.org/covid-19-response" TargetMode="External"/><Relationship Id="rId329" Type="http://schemas.openxmlformats.org/officeDocument/2006/relationships/hyperlink" Target="https://www.kptv.com/news/500-payments-for-some-portlanders-in-new-covid-19-housing-assistance-program/article_74284af2-157e-11eb-aa8c-2bc0ad40c81c.html" TargetMode="External"/><Relationship Id="rId47" Type="http://schemas.openxmlformats.org/officeDocument/2006/relationships/hyperlink" Target="https://www.southernminn.com/northfield_news/news/article_c0d3f0eb-0467-574b-b402-1a4489f2eb09.html" TargetMode="External"/><Relationship Id="rId68" Type="http://schemas.openxmlformats.org/officeDocument/2006/relationships/hyperlink" Target="https://www.wtkr.com/news/virginia-beach-launches-eviction-prevention-program-for-renters-impacted-by-covid-19" TargetMode="External"/><Relationship Id="rId89" Type="http://schemas.openxmlformats.org/officeDocument/2006/relationships/hyperlink" Target="https://s3.amazonaws.com/fn-document-service/file-by-sha384/218bb1710035013a800e0490465f4fa4d2f4762ef521ba01a19d704b121f4651b7dde3a48d669dbb8f2822b3bfd5e0ae" TargetMode="External"/><Relationship Id="rId112" Type="http://schemas.openxmlformats.org/officeDocument/2006/relationships/hyperlink" Target="http://www.supremecourt.ohio.gov/coronavirus/resources/localCourtGuidance03.20.20.pdf" TargetMode="External"/><Relationship Id="rId133" Type="http://schemas.openxmlformats.org/officeDocument/2006/relationships/hyperlink" Target="https://www.ncsha.org/wp-content/uploads/NMHTF_Rental_Assistance_NOFA_5-4-2020.pdf" TargetMode="External"/><Relationship Id="rId154" Type="http://schemas.openxmlformats.org/officeDocument/2006/relationships/hyperlink" Target="https://abc13.com/rent-relief-covid-19-coronavirus-montgomery-county-covid19/6229572/" TargetMode="External"/><Relationship Id="rId175" Type="http://schemas.openxmlformats.org/officeDocument/2006/relationships/hyperlink" Target="https://www.wcbe.org/post/columbus-council-accepts-cares-act-funding-approves-tax-breaks" TargetMode="External"/><Relationship Id="rId196" Type="http://schemas.openxmlformats.org/officeDocument/2006/relationships/hyperlink" Target="http://gov.nv.gov/News/Press/2020/Governor_Sisolak_announced_gradual_lift_to_eviction_moratorium,_announces_rental_assistance_program/" TargetMode="External"/><Relationship Id="rId200" Type="http://schemas.openxmlformats.org/officeDocument/2006/relationships/hyperlink" Target="https://s3.amazonaws.com/fn-document-service/file-by-sha384/fc46b3983d4b88288ddab7325f64c4c094a31897d324e1a4c7ba3273a3dc5317f855767a5939d1872e033edd826e3333" TargetMode="External"/><Relationship Id="rId16" Type="http://schemas.openxmlformats.org/officeDocument/2006/relationships/hyperlink" Target="https://flatheadbeacon.com/2020/03/30/whitefish-launches-emergency-rental-assistance-fund/" TargetMode="External"/><Relationship Id="rId221" Type="http://schemas.openxmlformats.org/officeDocument/2006/relationships/hyperlink" Target="https://www.miamidade.gov/global/housing/emergency-rental-assistance-program.page" TargetMode="External"/><Relationship Id="rId242" Type="http://schemas.openxmlformats.org/officeDocument/2006/relationships/hyperlink" Target="https://www.providenceri.gov/pema/covid-19-housing-resource-guide/" TargetMode="External"/><Relationship Id="rId263" Type="http://schemas.openxmlformats.org/officeDocument/2006/relationships/hyperlink" Target="https://www.njleg.state.nj.us/2020/Bills/A5000/4536_I1.HTM" TargetMode="External"/><Relationship Id="rId284" Type="http://schemas.openxmlformats.org/officeDocument/2006/relationships/hyperlink" Target="https://www.colliercountyhousing.com/covid-19-relief-applications/" TargetMode="External"/><Relationship Id="rId319" Type="http://schemas.openxmlformats.org/officeDocument/2006/relationships/hyperlink" Target="https://theindependent.com/news/state_and_regional/landlords-in-south-central-nebraska-can-get-a-grant-from-cares-act-but-must-apply/article_ecc06eb4-afe6-5efa-a3c6-ebe44f23ae99.html" TargetMode="External"/><Relationship Id="rId37" Type="http://schemas.openxmlformats.org/officeDocument/2006/relationships/hyperlink" Target="https://www.owensborotimes.com/news/2020/04/city-announces-covid-19-emergency-assistance-for-businesses-residents/" TargetMode="External"/><Relationship Id="rId58" Type="http://schemas.openxmlformats.org/officeDocument/2006/relationships/hyperlink" Target="https://www.wlvt.org/blogs/lehigh/allentowns-covid19-rental-assistance-program-closed-after-one-day-due-to-overwhelming-response/" TargetMode="External"/><Relationship Id="rId79" Type="http://schemas.openxmlformats.org/officeDocument/2006/relationships/hyperlink" Target="https://s3.amazonaws.com/fn-document-service/file-by-sha384/41144abb569272fc28d42cef4796a37526951c8f33544d80b0bd8d1a76e48023f9fdd8678e61e5ad5fdfcf3768a7ea18" TargetMode="External"/><Relationship Id="rId102" Type="http://schemas.openxmlformats.org/officeDocument/2006/relationships/hyperlink" Target="https://drive.google.com/file/d/1q7wkqi-NeU5nmuFcBQwn-6CryTKdYJ5P/view" TargetMode="External"/><Relationship Id="rId123" Type="http://schemas.openxmlformats.org/officeDocument/2006/relationships/hyperlink" Target="https://governor.vermont.gov/press-release/governor-phil-scott-announces-first-economic-relief-and-recovery-package" TargetMode="External"/><Relationship Id="rId144" Type="http://schemas.openxmlformats.org/officeDocument/2006/relationships/hyperlink" Target="https://apnews.com/d9ed5e45b0accb6e22c635afd8893bdf" TargetMode="External"/><Relationship Id="rId330" Type="http://schemas.openxmlformats.org/officeDocument/2006/relationships/hyperlink" Target="https://www.siouxlandproud.com/news/south-dakota-news/housing-assistance-available-to-south-dakotans-affected-by-covid-19/" TargetMode="External"/><Relationship Id="rId90" Type="http://schemas.openxmlformats.org/officeDocument/2006/relationships/hyperlink" Target="https://s3.amazonaws.com/fn-document-service/file-by-sha384/0604d2e8fd8d413bd599566ee21493944bf8867d29d26f95862c166ac24899653e227c3d645b775a084eab5cc475de10" TargetMode="External"/><Relationship Id="rId165" Type="http://schemas.openxmlformats.org/officeDocument/2006/relationships/hyperlink" Target="https://www.miamigov.com/Notices/News-Media/Rental-Utility-Assistance-Program-Opens-to-Applicants-Monday-May-4" TargetMode="External"/><Relationship Id="rId186" Type="http://schemas.openxmlformats.org/officeDocument/2006/relationships/hyperlink" Target="https://www.hawaiisenatemajority.com/post/hawai-i-legislators-announce-plan-to-use-cares-funds-to-support-hawai-i-s-unemployed-small-business" TargetMode="External"/><Relationship Id="rId211" Type="http://schemas.openxmlformats.org/officeDocument/2006/relationships/hyperlink" Target="https://www.townofcortemadera.org/DocumentCenter/View/5150/COVID-19-Housing-Assistance-Application-Final" TargetMode="External"/><Relationship Id="rId232" Type="http://schemas.openxmlformats.org/officeDocument/2006/relationships/hyperlink" Target="https://www.metrohousingboston.org/what-we-do/specialized-services/raft/" TargetMode="External"/><Relationship Id="rId253" Type="http://schemas.openxmlformats.org/officeDocument/2006/relationships/hyperlink" Target="https://coronavirus.dc.gov/node/1483516" TargetMode="External"/><Relationship Id="rId274" Type="http://schemas.openxmlformats.org/officeDocument/2006/relationships/hyperlink" Target="https://s3.amazonaws.com/fn-document-service/file-by-sha384/b2f3eaee5b23864feac39742bebc61f05b30ee2713a27a042a1b949a7fdcd7bee5580999da1024f285887da50661fa47" TargetMode="External"/><Relationship Id="rId295" Type="http://schemas.openxmlformats.org/officeDocument/2006/relationships/hyperlink" Target="https://s3.amazonaws.com/fn-document-service/file-by-sha384/1c3f136a99d624fe0de7d5fcabf9b37778853c94e02032d33bd735906a79319cd074b021687a98446a75ec85c508c3a2" TargetMode="External"/><Relationship Id="rId309" Type="http://schemas.openxmlformats.org/officeDocument/2006/relationships/hyperlink" Target="https://www.pimaep.com/" TargetMode="External"/><Relationship Id="rId27" Type="http://schemas.openxmlformats.org/officeDocument/2006/relationships/hyperlink" Target="https://www.alhambrasource.org/story/alhambra-announces-covid-19-housing-assistance-funding" TargetMode="External"/><Relationship Id="rId48" Type="http://schemas.openxmlformats.org/officeDocument/2006/relationships/hyperlink" Target="https://www.kaaltv.com/coronavirus/county-fast-tracks-covid-related-rental-assistance-program/5720060/?cat=10151" TargetMode="External"/><Relationship Id="rId69" Type="http://schemas.openxmlformats.org/officeDocument/2006/relationships/hyperlink" Target="https://www.commerce.wa.gov/news-releases/community-grants/commerce-provides-9-million-in-rent-and-energy-assistance-to-serve-estimated-5000-low-income-households/" TargetMode="External"/><Relationship Id="rId113" Type="http://schemas.openxmlformats.org/officeDocument/2006/relationships/hyperlink" Target="http://www.therepublic.com/2020/04/29/city_creates_help_fund_for_rent_utilities/" TargetMode="External"/><Relationship Id="rId134" Type="http://schemas.openxmlformats.org/officeDocument/2006/relationships/hyperlink" Target="https://www.toledoblade.com/local/city/2020/06/02/Toledo-officials-make-2-million-available-for-emergency-rental-assistance/stories/20200602092" TargetMode="External"/><Relationship Id="rId320" Type="http://schemas.openxmlformats.org/officeDocument/2006/relationships/hyperlink" Target="https://cityofhenderson.com/community-development/housing/Henderson-CARES-Housing-Assistance-Program" TargetMode="External"/><Relationship Id="rId80" Type="http://schemas.openxmlformats.org/officeDocument/2006/relationships/hyperlink" Target="https://s3.amazonaws.com/fn-document-service/file-by-sha384/9ef2221bcec91c43da684bb5e8fbd7f9f96142f410ee31087cb4dbbd6c19038098455b02911770fb7f4a99dbbb39651e" TargetMode="External"/><Relationship Id="rId155" Type="http://schemas.openxmlformats.org/officeDocument/2006/relationships/hyperlink" Target="https://denver.cbslocal.com/2020/05/20/rental-assistance-aurora-help-residents-financially-covid-19-crisis/" TargetMode="External"/><Relationship Id="rId176" Type="http://schemas.openxmlformats.org/officeDocument/2006/relationships/hyperlink" Target="https://www.whio.com/home/coronavirus-city-dayton-adds-protections-tenants-against-evictions-during-pandemic/GH6N3E77TREOHIQCS4RUPEKTP4/" TargetMode="External"/><Relationship Id="rId197" Type="http://schemas.openxmlformats.org/officeDocument/2006/relationships/hyperlink" Target="https://www.orangecountync.gov/2359/Emergency-Housing-Assistance" TargetMode="External"/><Relationship Id="rId201" Type="http://schemas.openxmlformats.org/officeDocument/2006/relationships/hyperlink" Target="https://legislature.vermont.gov/Documents/2020/Docs/BILLS/H-0966/H-0966%20As%20Passed%20by%20Both%20House%20and%20Senate%20Official.pdf" TargetMode="External"/><Relationship Id="rId222" Type="http://schemas.openxmlformats.org/officeDocument/2006/relationships/hyperlink" Target="https://covid19.pinellascounty.org/pinellascaresindividual/" TargetMode="External"/><Relationship Id="rId243" Type="http://schemas.openxmlformats.org/officeDocument/2006/relationships/hyperlink" Target="http://www.webercountyutah.gov/Housing-Authority/documents/ERA%20Covid-19.pdf" TargetMode="External"/><Relationship Id="rId264" Type="http://schemas.openxmlformats.org/officeDocument/2006/relationships/hyperlink" Target="https://www.vcstar.com/story/news/local/2020/06/16/coronavirus-ventura-county-pandemic-rental-assistance-program-california/3192166001/" TargetMode="External"/><Relationship Id="rId285" Type="http://schemas.openxmlformats.org/officeDocument/2006/relationships/hyperlink" Target="https://www.melbourneflorida.org/Home/Components/News/News/7191/2513" TargetMode="External"/><Relationship Id="rId17" Type="http://schemas.openxmlformats.org/officeDocument/2006/relationships/hyperlink" Target="https://nyassembly.gov/leg/?default_fld=%0D%0A&amp;leg_video=&amp;bn=A10318&amp;term=2019&amp;Summary=Y&amp;Actions=Y" TargetMode="External"/><Relationship Id="rId38" Type="http://schemas.openxmlformats.org/officeDocument/2006/relationships/hyperlink" Target="https://www.thenewsstar.com/story/news/2020/05/03/coronavirus-monroe-families-businesses-benefit-federal-money/3052852001/" TargetMode="External"/><Relationship Id="rId59" Type="http://schemas.openxmlformats.org/officeDocument/2006/relationships/hyperlink" Target="https://www.phillyvoice.com/philly-covid-19-rental-assistance-program-evictions-ban-application-landlords/" TargetMode="External"/><Relationship Id="rId103" Type="http://schemas.openxmlformats.org/officeDocument/2006/relationships/hyperlink" Target="https://drive.google.com/file/d/18o0yWHzZleHJ87hmgLuBmXwpM8R74Q5x/view" TargetMode="External"/><Relationship Id="rId124" Type="http://schemas.openxmlformats.org/officeDocument/2006/relationships/hyperlink" Target="https://sanjosespotlight.com/san-jose-leader-unveils-task-force-to-tackle-covid-19-racial-disparities/" TargetMode="External"/><Relationship Id="rId310" Type="http://schemas.openxmlformats.org/officeDocument/2006/relationships/hyperlink" Target="https://wehco.media.clients.ellingtoncms.com/news/documents/2020/10/14/COVID_ESG_RentalAssistanceAgencies.pdf" TargetMode="External"/><Relationship Id="rId70" Type="http://schemas.openxmlformats.org/officeDocument/2006/relationships/hyperlink" Target="https://www.kitsapdailynews.com/news/additional-money-now-available-for-bremertons-rental-assistance-program/" TargetMode="External"/><Relationship Id="rId91" Type="http://schemas.openxmlformats.org/officeDocument/2006/relationships/hyperlink" Target="https://s3.amazonaws.com/fn-document-service/file-by-sha384/0fc867f11ac0bf7b35d44781926513b5ef21f6e974a808dbe4924fd74cd144206e74ace2224d4a79f76c79e38d85f1cc" TargetMode="External"/><Relationship Id="rId145" Type="http://schemas.openxmlformats.org/officeDocument/2006/relationships/hyperlink" Target="https://abc11.com/society/gov-cooper-creates-racial-equity-task-force/6239519/" TargetMode="External"/><Relationship Id="rId166" Type="http://schemas.openxmlformats.org/officeDocument/2006/relationships/hyperlink" Target="https://newarkcovid19.com/docs/rent-increase-freeze-order" TargetMode="External"/><Relationship Id="rId187" Type="http://schemas.openxmlformats.org/officeDocument/2006/relationships/hyperlink" Target="https://www.wbaltv.com/article/coronavirus-baltimore-county-eviction-prevention-program/32811387" TargetMode="External"/><Relationship Id="rId331" Type="http://schemas.openxmlformats.org/officeDocument/2006/relationships/hyperlink" Target="http://www.austintexas.gov/article/covid-19-relief-state-emergency-rise-fund" TargetMode="External"/><Relationship Id="rId1" Type="http://schemas.openxmlformats.org/officeDocument/2006/relationships/hyperlink" Target="https://www.azcentral.com/story/money/real-estate/catherine-reagor/2020/03/17/renters-facing-eviction-phoenix-could-get-reprieve-courts/5071243002/" TargetMode="External"/><Relationship Id="rId212" Type="http://schemas.openxmlformats.org/officeDocument/2006/relationships/hyperlink" Target="http://www.wfresnofrc.org/housing-retention-program" TargetMode="External"/><Relationship Id="rId233" Type="http://schemas.openxmlformats.org/officeDocument/2006/relationships/hyperlink" Target="https://www.masslive.com/coronavirus/2020/07/covid-19-job-losses-amherst-allocates-250k-for-rental-assistance.html" TargetMode="External"/><Relationship Id="rId254" Type="http://schemas.openxmlformats.org/officeDocument/2006/relationships/hyperlink" Target="https://s3.amazonaws.com/fn-document-service/file-by-sha384/e0ef15928479c3aa27ff17aecd4e497d14b065d10f763ddec41f5074f1ee9ccc6aa949a8191438452a001092ba4512de" TargetMode="External"/><Relationship Id="rId28" Type="http://schemas.openxmlformats.org/officeDocument/2006/relationships/hyperlink" Target="https://sanfrancisco.cbslocal.com/2020/04/21/marin-co-supes-double-covid-19-rental-assistance-fund-for-homeless/" TargetMode="External"/><Relationship Id="rId49" Type="http://schemas.openxmlformats.org/officeDocument/2006/relationships/hyperlink" Target="https://www.hometownsource.com/sun_current/free/richfield-hra-authorizes-30k-in-rental-assistance/article_6adb7c86-8eeb-11ea-aff7-bb5b7f4defd6.html" TargetMode="External"/><Relationship Id="rId114" Type="http://schemas.openxmlformats.org/officeDocument/2006/relationships/hyperlink" Target="https://newton.wickedlocal.com/news/20200520/newton-rentalmortgage-assistance-fund-now-totals-25m" TargetMode="External"/><Relationship Id="rId275" Type="http://schemas.openxmlformats.org/officeDocument/2006/relationships/hyperlink" Target="https://s3.amazonaws.com/fn-document-service/file-by-sha384/6a53039a781895e89ef5a045ebf39eaa40dc1f4e493034062ca88199e0f24f9b80db21f6b4489d95339e9e4c7d79ee1a" TargetMode="External"/><Relationship Id="rId296" Type="http://schemas.openxmlformats.org/officeDocument/2006/relationships/hyperlink" Target="https://governor.nc.gov/news/governor-cooper-announces-175-million-assist-rental-utility-payments-north-carolinians" TargetMode="External"/><Relationship Id="rId300" Type="http://schemas.openxmlformats.org/officeDocument/2006/relationships/hyperlink" Target="https://s3.amazonaws.com/fn-document-service/file-by-sha384/16fce9044f1e6bcc187378137cc67349b65e01485ae8d2efaecbb7e8a8707e665ee4df1a6d07d140e6f671fffd97e9af" TargetMode="External"/><Relationship Id="rId60" Type="http://schemas.openxmlformats.org/officeDocument/2006/relationships/hyperlink" Target="https://www.valleybreeze.com/2020-05-06/cumberland-lincoln-area/state-unveils-new-models-rental-assistance-available-low-income" TargetMode="External"/><Relationship Id="rId81" Type="http://schemas.openxmlformats.org/officeDocument/2006/relationships/hyperlink" Target="https://s3.amazonaws.com/fn-document-service/file-by-sha384/800acfb0a743cc1c2f811e1bab221d9bf20f89a8edbbd620ce20e6522006152cc2653186245a8c17c1c3c90eb9ac1c14" TargetMode="External"/><Relationship Id="rId135" Type="http://schemas.openxmlformats.org/officeDocument/2006/relationships/hyperlink" Target="https://www.kptv.com/news/city-to-dedicate-8-35m-to-portland-households-impacted-by-covid-19-pandemic/article_e2c001a6-a10e-11ea-ac41-87dfb8e6c797.html" TargetMode="External"/><Relationship Id="rId156" Type="http://schemas.openxmlformats.org/officeDocument/2006/relationships/hyperlink" Target="https://nyassembly.gov/leg/?default_fld=%0D%0A&amp;leg_video=&amp;bn=A10224&amp;term=2019&amp;Summary=Y&amp;Actions=Y" TargetMode="External"/><Relationship Id="rId177" Type="http://schemas.openxmlformats.org/officeDocument/2006/relationships/hyperlink" Target="https://charlottenc.gov/newsroom/releases/Pages/Charlotte-Mayor-and-City-Council-Announce-Community-Recovery-Task-Force.aspx" TargetMode="External"/><Relationship Id="rId198" Type="http://schemas.openxmlformats.org/officeDocument/2006/relationships/hyperlink" Target="https://s3.amazonaws.com/fn-document-service/file-by-sha384/aadbd5af427263601880ae7c78d74a3310b77f1958a3fde8cfa0069573390fd86b943c93ea4d1a54d76d4ef4cf38e914" TargetMode="External"/><Relationship Id="rId321" Type="http://schemas.openxmlformats.org/officeDocument/2006/relationships/hyperlink" Target="https://nj.gov/humanservices/covid19housingassistance/" TargetMode="External"/><Relationship Id="rId202" Type="http://schemas.openxmlformats.org/officeDocument/2006/relationships/hyperlink" Target="https://www.maine.gov/governor/mills/news/governor-mills-dedicates-50000-permanent-commission-status-racial-indigenous-and-maine-tribal" TargetMode="External"/><Relationship Id="rId223" Type="http://schemas.openxmlformats.org/officeDocument/2006/relationships/hyperlink" Target="https://www.polk-county.net/polk-cares-2020" TargetMode="External"/><Relationship Id="rId244" Type="http://schemas.openxmlformats.org/officeDocument/2006/relationships/hyperlink" Target="https://www.dhcd.virginia.gov/rmrp" TargetMode="External"/><Relationship Id="rId18" Type="http://schemas.openxmlformats.org/officeDocument/2006/relationships/hyperlink" Target="https://s3.amazonaws.com/fn-document-service/file-by-sha384/56ab8c4bde36086a304c1493524b92ef07e56c5619d1861585953988542dc953d147c6573cdcac5d584c69e5075fcd0b" TargetMode="External"/><Relationship Id="rId39" Type="http://schemas.openxmlformats.org/officeDocument/2006/relationships/hyperlink" Target="https://gov.louisiana.gov/index.cfm/newsroom/detail/2483" TargetMode="External"/><Relationship Id="rId265" Type="http://schemas.openxmlformats.org/officeDocument/2006/relationships/hyperlink" Target="https://malegislature.gov/Bills/191/H4854" TargetMode="External"/><Relationship Id="rId286" Type="http://schemas.openxmlformats.org/officeDocument/2006/relationships/hyperlink" Target="https://www.northmiamifl.gov/827/Emergency-Tenant-Based-Rental-Assistance" TargetMode="External"/><Relationship Id="rId50" Type="http://schemas.openxmlformats.org/officeDocument/2006/relationships/hyperlink" Target="https://www.columbiamissourian.com/news/covid19/small-business-loans-housing-assistance-win-columbia-city-council-approval/article_4c764e2e-8e50-11ea-a6e2-57e51aa9d9fd.html" TargetMode="External"/><Relationship Id="rId104" Type="http://schemas.openxmlformats.org/officeDocument/2006/relationships/hyperlink" Target="https://www.gov.ca.gov/wp-content/uploads/2020/03/3.24.20-EO-N-36-20-text.pdf" TargetMode="External"/><Relationship Id="rId125" Type="http://schemas.openxmlformats.org/officeDocument/2006/relationships/hyperlink" Target="https://s3.amazonaws.com/fn-document-service/file-by-sha384/ea4e87e6c8b444c0b54e30accda8cb608fae90179c4f53e7af7e0f31275db07e2a46b21262ae832a2895d4fb0d70e29b" TargetMode="External"/><Relationship Id="rId146" Type="http://schemas.openxmlformats.org/officeDocument/2006/relationships/hyperlink" Target="https://www.racialequityalliance.org/wp-content/uploads/2020/05/FOR-IMMEDIATE-RELEASE-Milwaukee-County-Passes-Ordinance-to-Advance-Racial-Equity-2.pdf" TargetMode="External"/><Relationship Id="rId167" Type="http://schemas.openxmlformats.org/officeDocument/2006/relationships/hyperlink" Target="http://richmondvaannouncements.blogspot.com/2020/04/mayor-prepares-58m-local-and-federal.html" TargetMode="External"/><Relationship Id="rId188" Type="http://schemas.openxmlformats.org/officeDocument/2006/relationships/hyperlink" Target="https://yallpolitics.com/2020/06/25/mississippi-home-corporation-announces-rental-assistance-for-mississippians-program/" TargetMode="External"/><Relationship Id="rId311" Type="http://schemas.openxmlformats.org/officeDocument/2006/relationships/hyperlink" Target="https://www.shra.org/sera/" TargetMode="External"/><Relationship Id="rId332" Type="http://schemas.openxmlformats.org/officeDocument/2006/relationships/hyperlink" Target="https://communityimpact.com/houston/bellaire-meyerland-west-university/coronavirus/2020/10/02/greater-houston-covid-19-recovery-fund-launches-lost-loved-one-fund-targets-rental-assistance-bereavement-support-in-final-round-of-grants/" TargetMode="External"/><Relationship Id="rId71" Type="http://schemas.openxmlformats.org/officeDocument/2006/relationships/hyperlink" Target="https://q13fox.com/2020/04/28/city-of-tacoma-offers-rent-assistance-to-people-impacted-by-covid-19/" TargetMode="External"/><Relationship Id="rId92" Type="http://schemas.openxmlformats.org/officeDocument/2006/relationships/hyperlink" Target="https://s3.amazonaws.com/fn-document-service/file-by-sha384/da5795b577dcfee7ffe81cceef08abb532f50137e5b0fd0dbd6b59dc60f504c3b130a6740ec1fe6149857f998a36abe4" TargetMode="External"/><Relationship Id="rId213" Type="http://schemas.openxmlformats.org/officeDocument/2006/relationships/hyperlink" Target="http://www.paramountcity.com/community/cdbg" TargetMode="External"/><Relationship Id="rId234" Type="http://schemas.openxmlformats.org/officeDocument/2006/relationships/hyperlink" Target="https://ipswich.wickedlocal.com/news/20200709/ipswich-announces-covid-19-rental-assistance-program" TargetMode="External"/><Relationship Id="rId2" Type="http://schemas.openxmlformats.org/officeDocument/2006/relationships/hyperlink" Target="https://www.azcentral.com/story/money/real-estate/catherine-reagor/2020/03/17/renters-facing-eviction-phoenix-could-get-reprieve-courts/5071243002/" TargetMode="External"/><Relationship Id="rId29" Type="http://schemas.openxmlformats.org/officeDocument/2006/relationships/hyperlink" Target="https://napavalleyregister.com/news/local/napa-city-council-approved-1-4-million-in-rental-assistance-for-people-hurt-by-pandemic/article_90f6c1ff-21d8-5a8a-9836-16416d9fb110.html" TargetMode="External"/><Relationship Id="rId255" Type="http://schemas.openxmlformats.org/officeDocument/2006/relationships/hyperlink" Target="http://www.legislature.mi.gov/documents/2019-2020/billintroduced/Senate/pdf/2020-SIB-1008.pdf" TargetMode="External"/><Relationship Id="rId276" Type="http://schemas.openxmlformats.org/officeDocument/2006/relationships/hyperlink" Target="https://www.colorado.gov/governor/sites/default/files/inline-files/D%202020%20175%20Equity%2C%20Diversity%2C%20and%20Inclusion%20for%20the%20State%20of%20Colorado.pdf" TargetMode="External"/><Relationship Id="rId297" Type="http://schemas.openxmlformats.org/officeDocument/2006/relationships/hyperlink" Target="https://www.cityofpa.us/966/Utility-Payment-Information" TargetMode="External"/><Relationship Id="rId40" Type="http://schemas.openxmlformats.org/officeDocument/2006/relationships/hyperlink" Target="https://www.mainehousing.org/programs-services/rental/rentaldetail/covid-19-rental-relief-program" TargetMode="External"/><Relationship Id="rId115" Type="http://schemas.openxmlformats.org/officeDocument/2006/relationships/hyperlink" Target="https://www.startribune.com/5-million-relief-plan-in-minneapolis-would-aid-renters-homeless-small-businesses/569353162/" TargetMode="External"/><Relationship Id="rId136" Type="http://schemas.openxmlformats.org/officeDocument/2006/relationships/hyperlink" Target="https://secureservercdn.net/50.62.172.232/y2h.094.myftpupload.com/wp-content/uploads/2020/03/Summary-COVID-Relief-Rental-Assistance-2020-06-02.pdf" TargetMode="External"/><Relationship Id="rId157" Type="http://schemas.openxmlformats.org/officeDocument/2006/relationships/hyperlink" Target="https://www.washingtonpost.com/local/dc-politics/dc-council-freezes-rent-hikes-but-omits-undocumented-immigrants-from-covid-19-relief-bill/2020/04/07/407d506a-78f5-11ea-a130-df573469f094_story.html" TargetMode="External"/><Relationship Id="rId178" Type="http://schemas.openxmlformats.org/officeDocument/2006/relationships/hyperlink" Target="https://cbs2iowa.com/news/coronavirus/the-city-of-cedar-rapids-launches-an-eviction-prevention-program" TargetMode="External"/><Relationship Id="rId301" Type="http://schemas.openxmlformats.org/officeDocument/2006/relationships/hyperlink" Target="https://www.simivalley.org/Home/Components/Form/Form/d394e0b91b274666b847b649fee91936/998" TargetMode="External"/><Relationship Id="rId322" Type="http://schemas.openxmlformats.org/officeDocument/2006/relationships/hyperlink" Target="https://www.camdencounty.com/service/improvement-authority/camden-county-cares-rental-assistance-grant/" TargetMode="External"/><Relationship Id="rId61" Type="http://schemas.openxmlformats.org/officeDocument/2006/relationships/hyperlink" Target="https://www.wmcactionnews5.com/2020/04/24/shelby-county-providing-financial-assistance-residents-impacted-by-covid-/" TargetMode="External"/><Relationship Id="rId82" Type="http://schemas.openxmlformats.org/officeDocument/2006/relationships/hyperlink" Target="https://s3.amazonaws.com/fn-document-service/file-by-sha384/32f28f6654abda9c6350cf7d3e4031e0363c58096fe26655446b6c4127dc4eeac2df7379ae54e5b5bd7c81dce37646ba" TargetMode="External"/><Relationship Id="rId199" Type="http://schemas.openxmlformats.org/officeDocument/2006/relationships/hyperlink" Target="https://s3.amazonaws.com/fn-document-service/file-by-sha384/43a15628e0422a85b99508b07510907f2b2ff09162189284f57070e1e623cabcee1fb2d2cf0e8d42006fe57df1b2542a" TargetMode="External"/><Relationship Id="rId203" Type="http://schemas.openxmlformats.org/officeDocument/2006/relationships/hyperlink" Target="https://leginfo.legislature.ca.gov/faces/billNavClient.xhtml?bill_id=201920200SCR92" TargetMode="External"/><Relationship Id="rId19" Type="http://schemas.openxmlformats.org/officeDocument/2006/relationships/hyperlink" Target="https://s3.amazonaws.com/fn-document-service/file-by-sha384/223dca65f44d6821bccd635d5eb3799010e02c24a9998439720e0b1c15b4574185a8d205eb952602fafbe08e8ade34d4" TargetMode="External"/><Relationship Id="rId224" Type="http://schemas.openxmlformats.org/officeDocument/2006/relationships/hyperlink" Target="http://hopeserviceshawaii.org/RMAP/" TargetMode="External"/><Relationship Id="rId245" Type="http://schemas.openxmlformats.org/officeDocument/2006/relationships/hyperlink" Target="https://www.charlottesville.gov/209/Downtown-Job-Center" TargetMode="External"/><Relationship Id="rId266" Type="http://schemas.openxmlformats.org/officeDocument/2006/relationships/hyperlink" Target="https://www.revisor.mn.gov/bills/bill.php?b=house&amp;f=HF2&amp;ssn=2&amp;y=2020" TargetMode="External"/><Relationship Id="rId287" Type="http://schemas.openxmlformats.org/officeDocument/2006/relationships/hyperlink" Target="https://cobbhomesaver.org/renters/" TargetMode="External"/><Relationship Id="rId30" Type="http://schemas.openxmlformats.org/officeDocument/2006/relationships/hyperlink" Target="https://www.wtxl.com/news/florida-news/gov-desantis-florida-housing-providing-local-governments-5m-in-housing-assistance" TargetMode="External"/><Relationship Id="rId105" Type="http://schemas.openxmlformats.org/officeDocument/2006/relationships/hyperlink" Target="https://www.michigan.gov/whitmer/0,9309,7-387-90487-523423--,00.html" TargetMode="External"/><Relationship Id="rId126" Type="http://schemas.openxmlformats.org/officeDocument/2006/relationships/hyperlink" Target="https://s3.amazonaws.com/fn-document-service/file-by-sha384/1ccd4c4934bdfbca2dcffbdab86399c03e4abd42f6ce6ebc8d50967a30d4c60d996a4a33ccbadb0fa9d2d28caddba054" TargetMode="External"/><Relationship Id="rId147" Type="http://schemas.openxmlformats.org/officeDocument/2006/relationships/hyperlink" Target="https://pittsburgh.legistar.com/LegislationDetail.aspx?ID=4427602&amp;GUID=8FB26A9B-05B3-4B73-B667-30D91F25CBC1&amp;Options=&amp;Search=" TargetMode="External"/><Relationship Id="rId168" Type="http://schemas.openxmlformats.org/officeDocument/2006/relationships/hyperlink" Target="https://www.cityofmadison.com/mayor/blog/mayor-rhodes-conways-statement-regarding-covid-19-and-protecting-the-homeless" TargetMode="External"/><Relationship Id="rId312" Type="http://schemas.openxmlformats.org/officeDocument/2006/relationships/hyperlink" Target="https://www.san-marcos.net/departments/neighborhood-programs/covid-19-rental-assistance-program" TargetMode="External"/><Relationship Id="rId333" Type="http://schemas.openxmlformats.org/officeDocument/2006/relationships/hyperlink" Target="https://www.star-telegram.com/news/coronavirus/article246733056.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an-marcos.net/departments/neighborhood-programs/covid-19-rental-assistance-program" TargetMode="External"/><Relationship Id="rId13" Type="http://schemas.openxmlformats.org/officeDocument/2006/relationships/hyperlink" Target="https://www.mainehousing.org/docs/default-source/default-document-library/revised-draft-cdbg-cv19.pdf?sfvrsn=f4cf8d15_0" TargetMode="External"/><Relationship Id="rId18" Type="http://schemas.openxmlformats.org/officeDocument/2006/relationships/hyperlink" Target="https://www.simivalley.org/Home/Components/Form/Form/d394e0b91b274666b847b649fee91936/998" TargetMode="External"/><Relationship Id="rId26" Type="http://schemas.openxmlformats.org/officeDocument/2006/relationships/hyperlink" Target="https://www.lasvegasnevada.gov/Residents/Housing-Assistance-Program?utm_medium=email&amp;utm_source=govdelivery" TargetMode="External"/><Relationship Id="rId3" Type="http://schemas.openxmlformats.org/officeDocument/2006/relationships/hyperlink" Target="https://stjosephsgilroy.org/events/" TargetMode="External"/><Relationship Id="rId21" Type="http://schemas.openxmlformats.org/officeDocument/2006/relationships/hyperlink" Target="http://hopeserviceshawaii.org/RMAP/" TargetMode="External"/><Relationship Id="rId34" Type="http://schemas.openxmlformats.org/officeDocument/2006/relationships/hyperlink" Target="https://www.portland.gov/phb/news/2020/9/16/covid-19-rent-relief-program-cvrrp-expanded-partner-network" TargetMode="External"/><Relationship Id="rId7" Type="http://schemas.openxmlformats.org/officeDocument/2006/relationships/hyperlink" Target="https://www.centrolegal.org/rental-assistance/" TargetMode="External"/><Relationship Id="rId12" Type="http://schemas.openxmlformats.org/officeDocument/2006/relationships/hyperlink" Target="http://www.destatehousing.com/Landlords/landlordmedia/cdbg_fy2020_proguide.pdf" TargetMode="External"/><Relationship Id="rId17" Type="http://schemas.openxmlformats.org/officeDocument/2006/relationships/hyperlink" Target="https://www.cityofsantacruz.com/government/city-departments/economic-development/housing-assistance-information/financial-assistance" TargetMode="External"/><Relationship Id="rId25" Type="http://schemas.openxmlformats.org/officeDocument/2006/relationships/hyperlink" Target="https://www.brooklinecenter.org/services/housing-basic-needs/emergency-funds/" TargetMode="External"/><Relationship Id="rId33" Type="http://schemas.openxmlformats.org/officeDocument/2006/relationships/hyperlink" Target="https://www.metrohousingboston.org/what-we-do/specialized-services/raft/" TargetMode="External"/><Relationship Id="rId2" Type="http://schemas.openxmlformats.org/officeDocument/2006/relationships/hyperlink" Target="https://lbpost.com/news/city-will-begin-paying-up-to-1000-in-rent-for-tenants-affected-by-covid-19" TargetMode="External"/><Relationship Id="rId16" Type="http://schemas.openxmlformats.org/officeDocument/2006/relationships/hyperlink" Target="https://www.goodyearaz.gov/Home/Components/News/News/11638/1549?backlist=%2F" TargetMode="External"/><Relationship Id="rId20" Type="http://schemas.openxmlformats.org/officeDocument/2006/relationships/hyperlink" Target="https://www.northmiamifl.gov/827/Emergency-Tenant-Based-Rental-Assistance" TargetMode="External"/><Relationship Id="rId29" Type="http://schemas.openxmlformats.org/officeDocument/2006/relationships/hyperlink" Target="https://www.toledoblade.com/local/city/2020/06/02/Toledo-officials-make-2-million-available-for-emergency-rental-assistance/stories/20200602092" TargetMode="External"/><Relationship Id="rId1" Type="http://schemas.openxmlformats.org/officeDocument/2006/relationships/hyperlink" Target="https://www.glendaleca.gov/government/departments/community-development/housing/erap" TargetMode="External"/><Relationship Id="rId6" Type="http://schemas.openxmlformats.org/officeDocument/2006/relationships/hyperlink" Target="https://ktla.com/news/local-news/riverside-county-officials-give-covid-19-update-after-state-announces-move-into-reopening-phase-3/" TargetMode="External"/><Relationship Id="rId11" Type="http://schemas.openxmlformats.org/officeDocument/2006/relationships/hyperlink" Target="https://development.ohio.gov/files/cs/Draft-PY-2020-Annual-Action-Plan.pdf" TargetMode="External"/><Relationship Id="rId24" Type="http://schemas.openxmlformats.org/officeDocument/2006/relationships/hyperlink" Target="https://www.baltimorecountymd.gov/Agencies/socialservices/financialassistance/evictionpreventionprogram.html?ct=t(Baltimore_County_News_Media_Advisory_2013_29_2016_)" TargetMode="External"/><Relationship Id="rId32" Type="http://schemas.openxmlformats.org/officeDocument/2006/relationships/hyperlink" Target="https://rentrelief.utah.gov/" TargetMode="External"/><Relationship Id="rId5" Type="http://schemas.openxmlformats.org/officeDocument/2006/relationships/hyperlink" Target="https://www.cityofpasadena.net/housing/emergency-rental-assistance-program/" TargetMode="External"/><Relationship Id="rId15" Type="http://schemas.openxmlformats.org/officeDocument/2006/relationships/hyperlink" Target="https://dhcd.maryland.gov/Documents/Consolidated%20Plan/ActionPlan2019CDBGRound2.pdf" TargetMode="External"/><Relationship Id="rId23" Type="http://schemas.openxmlformats.org/officeDocument/2006/relationships/hyperlink" Target="https://www.lhc.la.gov/larenthelp?eType=EmailBlastContent&amp;eId=c4766809-66f9-4b34-b8f0-be7f3d7da627" TargetMode="External"/><Relationship Id="rId28" Type="http://schemas.openxmlformats.org/officeDocument/2006/relationships/hyperlink" Target="https://governor.nc.gov/news/governor-cooper-announces-175-million-assist-rental-utility-payments-north-carolinians" TargetMode="External"/><Relationship Id="rId10" Type="http://schemas.openxmlformats.org/officeDocument/2006/relationships/hyperlink" Target="http://www.countyofsb.org/housing" TargetMode="External"/><Relationship Id="rId19" Type="http://schemas.openxmlformats.org/officeDocument/2006/relationships/hyperlink" Target="https://www.melbourneflorida.org/Home/Components/News/News/7191/2513" TargetMode="External"/><Relationship Id="rId31" Type="http://schemas.openxmlformats.org/officeDocument/2006/relationships/hyperlink" Target="http://www.austintexas.gov/rent" TargetMode="External"/><Relationship Id="rId4" Type="http://schemas.openxmlformats.org/officeDocument/2006/relationships/hyperlink" Target="http://www.paramountcity.com/community/cdbg" TargetMode="External"/><Relationship Id="rId9" Type="http://schemas.openxmlformats.org/officeDocument/2006/relationships/hyperlink" Target="https://s3.amazonaws.com/fn-document-service/file-by-sha384/a42f98302959a67983a5626d70b4729106d6f78f33a689b05a98782ea8c887c7f21ac8b601cdc0367c47fd6f179ecea3" TargetMode="External"/><Relationship Id="rId14" Type="http://schemas.openxmlformats.org/officeDocument/2006/relationships/hyperlink" Target="https://www.mass.gov/doc/cdbg-substantial-amendment-2-federal-cares-act-update-91120/download" TargetMode="External"/><Relationship Id="rId22" Type="http://schemas.openxmlformats.org/officeDocument/2006/relationships/hyperlink" Target="https://www.normal.org/1487/COVID-19-Related-Housing-Assistance-Prog" TargetMode="External"/><Relationship Id="rId27" Type="http://schemas.openxmlformats.org/officeDocument/2006/relationships/hyperlink" Target="https://www.ncsha.org/wp-content/uploads/NMHTF_Rental_Assistance_NOFA_5-4-2020.pdf" TargetMode="External"/><Relationship Id="rId30" Type="http://schemas.openxmlformats.org/officeDocument/2006/relationships/hyperlink" Target="https://www.providenceri.gov/pema/covid-19-housing-resource-guide/" TargetMode="External"/><Relationship Id="rId35"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ovoco.com/news/irs-publishes-2018-caps-lihtcs-bonds" TargetMode="External"/><Relationship Id="rId13" Type="http://schemas.openxmlformats.org/officeDocument/2006/relationships/hyperlink" Target="https://www.novoco.com/news/irs-publishes-2018-caps-lihtcs-bonds" TargetMode="External"/><Relationship Id="rId18" Type="http://schemas.openxmlformats.org/officeDocument/2006/relationships/hyperlink" Target="https://www.novoco.com/resource-centers/affordable-housing-tax-credits/application-allocation/state-lihtc-allocating-agencies/2018-federal-lihtc-information-state" TargetMode="External"/><Relationship Id="rId26" Type="http://schemas.openxmlformats.org/officeDocument/2006/relationships/hyperlink" Target="https://www.novoco.com/resource-centers/affordable-housing-tax-credits/application-allocation/state-lihtc-allocating-agencies/2018-federal-lihtc-information-state" TargetMode="External"/><Relationship Id="rId3" Type="http://schemas.openxmlformats.org/officeDocument/2006/relationships/hyperlink" Target="https://www.novoco.com/resource-centers/affordable-housing-tax-credits/application-allocation/state-lihtc-allocating-agencies/2018-federal-lihtc-information-state" TargetMode="External"/><Relationship Id="rId21" Type="http://schemas.openxmlformats.org/officeDocument/2006/relationships/hyperlink" Target="https://www.novoco.com/news/irs-publishes-2018-caps-lihtcs-bonds" TargetMode="External"/><Relationship Id="rId7" Type="http://schemas.openxmlformats.org/officeDocument/2006/relationships/hyperlink" Target="https://www.novoco.com/news/irs-publishes-2018-caps-lihtcs-bonds" TargetMode="External"/><Relationship Id="rId12" Type="http://schemas.openxmlformats.org/officeDocument/2006/relationships/hyperlink" Target="https://www.novoco.com/resource-centers/affordable-housing-tax-credits/application-allocation/state-lihtc-allocating-agencies/2018-federal-lihtc-information-state" TargetMode="External"/><Relationship Id="rId17" Type="http://schemas.openxmlformats.org/officeDocument/2006/relationships/hyperlink" Target="https://www.novoco.com/resource-centers/affordable-housing-tax-credits/application-allocation/state-lihtc-allocating-agencies/2018-federal-lihtc-information-state" TargetMode="External"/><Relationship Id="rId25" Type="http://schemas.openxmlformats.org/officeDocument/2006/relationships/hyperlink" Target="https://www.novoco.com/news/irs-publishes-2018-caps-lihtcs-bonds" TargetMode="External"/><Relationship Id="rId2" Type="http://schemas.openxmlformats.org/officeDocument/2006/relationships/hyperlink" Target="https://www.novoco.com/resource-centers/affordable-housing-tax-credits/application-allocation/state-lihtc-allocating-agencies/2018-federal-lihtc-information-state" TargetMode="External"/><Relationship Id="rId16" Type="http://schemas.openxmlformats.org/officeDocument/2006/relationships/hyperlink" Target="https://www.novoco.com/resource-centers/affordable-housing-tax-credits/application-allocation/state-lihtc-allocating-agencies/2018-federal-lihtc-information-state" TargetMode="External"/><Relationship Id="rId20" Type="http://schemas.openxmlformats.org/officeDocument/2006/relationships/hyperlink" Target="https://www.novoco.com/news/irs-publishes-2018-caps-lihtcs-bonds" TargetMode="External"/><Relationship Id="rId29" Type="http://schemas.openxmlformats.org/officeDocument/2006/relationships/hyperlink" Target="https://www.novoco.com/news/irs-publishes-2018-caps-lihtcs-bonds" TargetMode="External"/><Relationship Id="rId1" Type="http://schemas.openxmlformats.org/officeDocument/2006/relationships/hyperlink" Target="https://www.novoco.com/resource-centers/affordable-housing-tax-credits/application-allocation/state-lihtc-allocating-agencies/2018-federal-lihtc-information-state" TargetMode="External"/><Relationship Id="rId6" Type="http://schemas.openxmlformats.org/officeDocument/2006/relationships/hyperlink" Target="https://www.novoco.com/news/irs-publishes-2018-caps-lihtcs-bonds" TargetMode="External"/><Relationship Id="rId11" Type="http://schemas.openxmlformats.org/officeDocument/2006/relationships/hyperlink" Target="https://www.novoco.com/news/irs-publishes-2018-caps-lihtcs-bonds" TargetMode="External"/><Relationship Id="rId24" Type="http://schemas.openxmlformats.org/officeDocument/2006/relationships/hyperlink" Target="https://www.novoco.com/resource-centers/affordable-housing-tax-credits/application-allocation/state-lihtc-allocating-agencies/2018-federal-lihtc-information-state" TargetMode="External"/><Relationship Id="rId5" Type="http://schemas.openxmlformats.org/officeDocument/2006/relationships/hyperlink" Target="https://www.novoco.com/resource-centers/affordable-housing-tax-credits/application-allocation/state-lihtc-allocating-agencies/2018-federal-lihtc-information-state" TargetMode="External"/><Relationship Id="rId15" Type="http://schemas.openxmlformats.org/officeDocument/2006/relationships/hyperlink" Target="https://www.novoco.com/resource-centers/affordable-housing-tax-credits/application-allocation/state-lihtc-allocating-agencies/2018-federal-lihtc-information-state" TargetMode="External"/><Relationship Id="rId23" Type="http://schemas.openxmlformats.org/officeDocument/2006/relationships/hyperlink" Target="https://www.novoco.com/news/irs-publishes-2018-caps-lihtcs-bonds" TargetMode="External"/><Relationship Id="rId28" Type="http://schemas.openxmlformats.org/officeDocument/2006/relationships/hyperlink" Target="https://www.novoco.com/resource-centers/affordable-housing-tax-credits/application-allocation/state-lihtc-allocating-agencies/2018-federal-lihtc-information-state" TargetMode="External"/><Relationship Id="rId10" Type="http://schemas.openxmlformats.org/officeDocument/2006/relationships/hyperlink" Target="https://www.novoco.com/resource-centers/affordable-housing-tax-credits/application-allocation/state-lihtc-allocating-agencies/2018-federal-lihtc-information-state" TargetMode="External"/><Relationship Id="rId19" Type="http://schemas.openxmlformats.org/officeDocument/2006/relationships/hyperlink" Target="https://shnny.org/fundingguide/low-income-housing-tax-credits-9-lihtc/" TargetMode="External"/><Relationship Id="rId31" Type="http://schemas.openxmlformats.org/officeDocument/2006/relationships/hyperlink" Target="https://www.novoco.com/resource-centers/affordable-housing-tax-credits/application-allocation/state-lihtc-allocating-agencies/2018-federal-lihtc-information-state" TargetMode="External"/><Relationship Id="rId4" Type="http://schemas.openxmlformats.org/officeDocument/2006/relationships/hyperlink" Target="https://www.chfa.org/developers/tax-credit-program/lihtc/" TargetMode="External"/><Relationship Id="rId9" Type="http://schemas.openxmlformats.org/officeDocument/2006/relationships/hyperlink" Target="https://www.novoco.com/resource-centers/affordable-housing-tax-credits/application-allocation/state-lihtc-allocating-agencies/2018-federal-lihtc-information-state" TargetMode="External"/><Relationship Id="rId14" Type="http://schemas.openxmlformats.org/officeDocument/2006/relationships/hyperlink" Target="https://www.novoco.com/news/irs-publishes-2018-caps-lihtcs-bonds" TargetMode="External"/><Relationship Id="rId22" Type="http://schemas.openxmlformats.org/officeDocument/2006/relationships/hyperlink" Target="https://www.novoco.com/news/irs-publishes-2018-caps-lihtcs-bonds" TargetMode="External"/><Relationship Id="rId27" Type="http://schemas.openxmlformats.org/officeDocument/2006/relationships/hyperlink" Target="https://www.novoco.com/news/irs-publishes-2018-caps-lihtcs-bonds" TargetMode="External"/><Relationship Id="rId30" Type="http://schemas.openxmlformats.org/officeDocument/2006/relationships/hyperlink" Target="https://www.novoco.com/news/irs-publishes-2018-caps-lihtcs-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4"/>
  <sheetViews>
    <sheetView tabSelected="1" zoomScale="110" zoomScaleNormal="110" workbookViewId="0">
      <pane xSplit="1" ySplit="2" topLeftCell="F621" activePane="bottomRight" state="frozen"/>
      <selection pane="topRight" activeCell="B1" sqref="B1"/>
      <selection pane="bottomLeft" activeCell="A3" sqref="A3"/>
      <selection pane="bottomRight" sqref="A1:XFD1048576"/>
    </sheetView>
  </sheetViews>
  <sheetFormatPr defaultColWidth="14.42578125" defaultRowHeight="15" customHeight="1"/>
  <cols>
    <col min="1" max="1" width="16" style="45" customWidth="1"/>
    <col min="2" max="2" width="15.42578125" style="45" customWidth="1"/>
    <col min="3" max="3" width="15" style="45" customWidth="1"/>
    <col min="4" max="4" width="16.85546875" style="45" customWidth="1"/>
    <col min="5" max="5" width="107.85546875" style="45" customWidth="1"/>
    <col min="6" max="6" width="41.7109375" style="45" customWidth="1"/>
    <col min="7" max="7" width="15" style="45" bestFit="1" customWidth="1"/>
    <col min="8" max="11" width="15" style="45" customWidth="1"/>
    <col min="12" max="16384" width="14.42578125" style="45"/>
  </cols>
  <sheetData>
    <row r="1" spans="1:26" ht="30" customHeight="1">
      <c r="A1" s="115" t="s">
        <v>1098</v>
      </c>
      <c r="B1" s="116"/>
      <c r="C1" s="116"/>
      <c r="D1" s="116"/>
      <c r="E1" s="116"/>
      <c r="F1" s="116"/>
      <c r="G1" s="117"/>
      <c r="H1" s="52"/>
      <c r="I1" s="52"/>
      <c r="J1" s="52"/>
      <c r="K1" s="52"/>
      <c r="L1" s="52"/>
      <c r="M1" s="52"/>
      <c r="N1" s="52"/>
      <c r="O1" s="52"/>
      <c r="P1" s="52"/>
      <c r="Q1" s="52"/>
      <c r="R1" s="52"/>
      <c r="S1" s="52"/>
      <c r="T1" s="52"/>
      <c r="U1" s="52"/>
      <c r="V1" s="52"/>
      <c r="W1" s="52"/>
      <c r="X1" s="52"/>
      <c r="Y1" s="52"/>
      <c r="Z1" s="52"/>
    </row>
    <row r="2" spans="1:26" ht="24.75" customHeight="1">
      <c r="A2" s="54" t="s">
        <v>0</v>
      </c>
      <c r="B2" s="55" t="s">
        <v>1</v>
      </c>
      <c r="C2" s="41" t="s">
        <v>2</v>
      </c>
      <c r="D2" s="41" t="s">
        <v>3</v>
      </c>
      <c r="E2" s="41" t="s">
        <v>4</v>
      </c>
      <c r="F2" s="41" t="s">
        <v>5</v>
      </c>
      <c r="G2" s="41" t="s">
        <v>1342</v>
      </c>
      <c r="H2" s="56"/>
      <c r="I2" s="56"/>
      <c r="J2" s="56"/>
      <c r="K2" s="56"/>
      <c r="L2" s="52"/>
      <c r="M2" s="52"/>
      <c r="N2" s="52"/>
      <c r="O2" s="52"/>
      <c r="P2" s="52"/>
      <c r="Q2" s="52"/>
      <c r="R2" s="52"/>
      <c r="S2" s="52"/>
      <c r="T2" s="52"/>
      <c r="U2" s="52"/>
      <c r="V2" s="52"/>
      <c r="W2" s="52"/>
      <c r="X2" s="52"/>
      <c r="Y2" s="52"/>
      <c r="Z2" s="52"/>
    </row>
    <row r="3" spans="1:26" ht="60">
      <c r="A3" s="50" t="s">
        <v>6</v>
      </c>
      <c r="B3" s="39" t="s">
        <v>1127</v>
      </c>
      <c r="C3" s="51">
        <v>44036</v>
      </c>
      <c r="D3" s="30" t="s">
        <v>13</v>
      </c>
      <c r="E3" s="30" t="s">
        <v>1128</v>
      </c>
      <c r="F3" s="43" t="s">
        <v>1129</v>
      </c>
      <c r="G3" s="38" t="s">
        <v>10</v>
      </c>
      <c r="H3" s="52"/>
      <c r="I3" s="52"/>
      <c r="J3" s="52"/>
      <c r="K3" s="52"/>
      <c r="L3" s="52"/>
      <c r="M3" s="52"/>
      <c r="N3" s="52"/>
      <c r="O3" s="52"/>
      <c r="P3" s="52"/>
      <c r="Q3" s="52"/>
      <c r="R3" s="52"/>
      <c r="S3" s="52"/>
      <c r="T3" s="52"/>
      <c r="U3" s="52"/>
      <c r="V3" s="52"/>
      <c r="W3" s="52"/>
      <c r="X3" s="52"/>
      <c r="Y3" s="52"/>
      <c r="Z3" s="52"/>
    </row>
    <row r="4" spans="1:26" ht="30">
      <c r="A4" s="50" t="s">
        <v>6</v>
      </c>
      <c r="B4" s="39" t="s">
        <v>7</v>
      </c>
      <c r="C4" s="51">
        <v>43924</v>
      </c>
      <c r="D4" s="30" t="s">
        <v>8</v>
      </c>
      <c r="E4" s="30" t="s">
        <v>9</v>
      </c>
      <c r="F4" s="42" t="str">
        <f>HYPERLINK("https://s3.amazonaws.com/fn-document-service/file-by-sha384/45612147f3c23ef755747bbd89957dc4a41b0178d04fcce155859e497d190722796498fd04324ae8c27d7d5b41658a79#page=","County Commission Agenda")</f>
        <v>County Commission Agenda</v>
      </c>
      <c r="G4" s="38" t="s">
        <v>10</v>
      </c>
      <c r="H4" s="52"/>
      <c r="I4" s="52"/>
      <c r="J4" s="52"/>
      <c r="K4" s="52"/>
      <c r="L4" s="52"/>
      <c r="M4" s="52"/>
      <c r="N4" s="52"/>
      <c r="O4" s="52"/>
      <c r="P4" s="52"/>
      <c r="Q4" s="52"/>
      <c r="R4" s="52"/>
      <c r="S4" s="52"/>
      <c r="T4" s="52"/>
      <c r="U4" s="52"/>
      <c r="V4" s="52"/>
      <c r="W4" s="52"/>
      <c r="X4" s="52"/>
      <c r="Y4" s="52"/>
      <c r="Z4" s="52"/>
    </row>
    <row r="5" spans="1:26" ht="47.25" customHeight="1">
      <c r="A5" s="50" t="s">
        <v>11</v>
      </c>
      <c r="B5" s="39" t="s">
        <v>12</v>
      </c>
      <c r="C5" s="51">
        <v>43957</v>
      </c>
      <c r="D5" s="30" t="s">
        <v>13</v>
      </c>
      <c r="E5" s="30" t="s">
        <v>14</v>
      </c>
      <c r="F5" s="43" t="s">
        <v>15</v>
      </c>
      <c r="G5" s="38" t="s">
        <v>10</v>
      </c>
      <c r="H5" s="52"/>
      <c r="I5" s="52"/>
      <c r="J5" s="52"/>
      <c r="K5" s="52"/>
      <c r="L5" s="52"/>
      <c r="M5" s="52"/>
      <c r="N5" s="52"/>
      <c r="O5" s="52"/>
      <c r="P5" s="52"/>
      <c r="Q5" s="52"/>
      <c r="R5" s="52"/>
      <c r="S5" s="52"/>
      <c r="T5" s="52"/>
      <c r="U5" s="52"/>
      <c r="V5" s="52"/>
      <c r="W5" s="52"/>
      <c r="X5" s="52"/>
      <c r="Y5" s="52"/>
      <c r="Z5" s="52"/>
    </row>
    <row r="6" spans="1:26" ht="50.25" customHeight="1">
      <c r="A6" s="30" t="s">
        <v>11</v>
      </c>
      <c r="B6" s="38" t="s">
        <v>16</v>
      </c>
      <c r="C6" s="51">
        <v>43939</v>
      </c>
      <c r="D6" s="30" t="s">
        <v>13</v>
      </c>
      <c r="E6" s="30" t="s">
        <v>978</v>
      </c>
      <c r="F6" s="43" t="str">
        <f>HYPERLINK("https://www.kinyradio.com/news/news-of-the-north/covid-19-rental-assistance-tax-deadlines-topics-at-monday-meeting/","COVID-19, rental assistance, tax deadlines topics at Monday meeting
")</f>
        <v xml:space="preserve">COVID-19, rental assistance, tax deadlines topics at Monday meeting
</v>
      </c>
      <c r="G6" s="38" t="s">
        <v>10</v>
      </c>
      <c r="H6" s="52"/>
      <c r="I6" s="52"/>
      <c r="J6" s="52"/>
      <c r="K6" s="52"/>
      <c r="L6" s="52"/>
      <c r="M6" s="52"/>
      <c r="N6" s="52"/>
      <c r="O6" s="52"/>
      <c r="P6" s="52"/>
      <c r="Q6" s="52"/>
      <c r="R6" s="52"/>
      <c r="S6" s="52"/>
      <c r="T6" s="52"/>
      <c r="U6" s="52"/>
      <c r="V6" s="52"/>
      <c r="W6" s="52"/>
      <c r="X6" s="52"/>
      <c r="Y6" s="52"/>
      <c r="Z6" s="52"/>
    </row>
    <row r="7" spans="1:26" ht="75">
      <c r="A7" s="30" t="s">
        <v>11</v>
      </c>
      <c r="B7" s="38" t="s">
        <v>16</v>
      </c>
      <c r="C7" s="51">
        <v>44131</v>
      </c>
      <c r="D7" s="30" t="s">
        <v>13</v>
      </c>
      <c r="E7" s="30" t="s">
        <v>1419</v>
      </c>
      <c r="F7" s="43" t="s">
        <v>1420</v>
      </c>
      <c r="G7" s="38" t="s">
        <v>10</v>
      </c>
      <c r="H7" s="52"/>
      <c r="I7" s="52"/>
      <c r="J7" s="52"/>
      <c r="K7" s="52"/>
      <c r="L7" s="52"/>
      <c r="M7" s="52"/>
      <c r="N7" s="52"/>
      <c r="O7" s="52"/>
      <c r="P7" s="52"/>
      <c r="Q7" s="52"/>
      <c r="R7" s="52"/>
      <c r="S7" s="52"/>
      <c r="T7" s="52"/>
      <c r="U7" s="52"/>
      <c r="V7" s="52"/>
      <c r="W7" s="52"/>
      <c r="X7" s="52"/>
      <c r="Y7" s="52"/>
      <c r="Z7" s="52"/>
    </row>
    <row r="8" spans="1:26" ht="45">
      <c r="A8" s="30" t="s">
        <v>11</v>
      </c>
      <c r="B8" s="38" t="s">
        <v>1421</v>
      </c>
      <c r="C8" s="51">
        <v>44139</v>
      </c>
      <c r="D8" s="30" t="s">
        <v>543</v>
      </c>
      <c r="E8" s="30" t="s">
        <v>1422</v>
      </c>
      <c r="F8" s="43" t="s">
        <v>1423</v>
      </c>
      <c r="G8" s="38" t="s">
        <v>10</v>
      </c>
      <c r="H8" s="52"/>
      <c r="I8" s="52"/>
      <c r="J8" s="52"/>
      <c r="K8" s="52"/>
      <c r="L8" s="52"/>
      <c r="M8" s="52"/>
      <c r="N8" s="52"/>
      <c r="O8" s="52"/>
      <c r="P8" s="52"/>
      <c r="Q8" s="52"/>
      <c r="R8" s="52"/>
      <c r="S8" s="52"/>
      <c r="T8" s="52"/>
      <c r="U8" s="52"/>
      <c r="V8" s="52"/>
      <c r="W8" s="52"/>
      <c r="X8" s="52"/>
      <c r="Y8" s="52"/>
      <c r="Z8" s="52"/>
    </row>
    <row r="9" spans="1:26" ht="60">
      <c r="A9" s="50" t="s">
        <v>11</v>
      </c>
      <c r="B9" s="39" t="s">
        <v>18</v>
      </c>
      <c r="C9" s="51">
        <v>43910</v>
      </c>
      <c r="D9" s="30" t="s">
        <v>19</v>
      </c>
      <c r="E9" s="30" t="s">
        <v>20</v>
      </c>
      <c r="F9" s="42" t="str">
        <f>HYPERLINK("https://gov.alaska.gov/newsroom/2020/03/20/governor-dunleavy-unveils-alaska-covid-19-economic-stabilization-plan/","Governor Dunleavy Unveils Alaska COVID-19 Economic Stabilization Plan")</f>
        <v>Governor Dunleavy Unveils Alaska COVID-19 Economic Stabilization Plan</v>
      </c>
      <c r="G9" s="38" t="s">
        <v>10</v>
      </c>
      <c r="H9" s="52"/>
      <c r="I9" s="52"/>
      <c r="J9" s="52"/>
      <c r="K9" s="52"/>
      <c r="L9" s="52"/>
      <c r="M9" s="52"/>
      <c r="N9" s="52"/>
      <c r="O9" s="52"/>
      <c r="P9" s="52"/>
      <c r="Q9" s="52"/>
      <c r="R9" s="52"/>
      <c r="S9" s="52"/>
      <c r="T9" s="52"/>
      <c r="U9" s="52"/>
      <c r="V9" s="52"/>
      <c r="W9" s="52"/>
      <c r="X9" s="52"/>
      <c r="Y9" s="52"/>
      <c r="Z9" s="52"/>
    </row>
    <row r="10" spans="1:26" ht="30">
      <c r="A10" s="30" t="s">
        <v>11</v>
      </c>
      <c r="B10" s="38" t="s">
        <v>18</v>
      </c>
      <c r="C10" s="51">
        <v>43916</v>
      </c>
      <c r="D10" s="30" t="s">
        <v>19</v>
      </c>
      <c r="E10" s="30" t="s">
        <v>21</v>
      </c>
      <c r="F10" s="42" t="str">
        <f>HYPERLINK("http://www.akleg.gov/PDF/31/Bills/HB0312A.PDF","HOUSE BILL NO. 312 ")</f>
        <v xml:space="preserve">HOUSE BILL NO. 312 </v>
      </c>
      <c r="G10" s="38" t="s">
        <v>22</v>
      </c>
      <c r="H10" s="52"/>
      <c r="I10" s="52"/>
      <c r="J10" s="52"/>
      <c r="K10" s="52"/>
      <c r="L10" s="52"/>
      <c r="M10" s="52"/>
      <c r="N10" s="52"/>
      <c r="O10" s="52"/>
      <c r="P10" s="52"/>
      <c r="Q10" s="52"/>
      <c r="R10" s="52"/>
      <c r="S10" s="52"/>
      <c r="T10" s="52"/>
      <c r="U10" s="52"/>
      <c r="V10" s="52"/>
      <c r="W10" s="52"/>
      <c r="X10" s="52"/>
      <c r="Y10" s="52"/>
      <c r="Z10" s="52"/>
    </row>
    <row r="11" spans="1:26" ht="78" customHeight="1">
      <c r="A11" s="50" t="s">
        <v>11</v>
      </c>
      <c r="B11" s="39" t="s">
        <v>18</v>
      </c>
      <c r="C11" s="51">
        <v>43928</v>
      </c>
      <c r="D11" s="30" t="s">
        <v>13</v>
      </c>
      <c r="E11" s="30" t="s">
        <v>23</v>
      </c>
      <c r="F11" s="42" t="str">
        <f>HYPERLINK("http://www.akleg.gov/basis/Bill/Detail/31?Root=hb%20205","APPROP: OPERATING BUDGET/LOANS/FUNDS")</f>
        <v>APPROP: OPERATING BUDGET/LOANS/FUNDS</v>
      </c>
      <c r="G11" s="38" t="s">
        <v>24</v>
      </c>
      <c r="H11" s="52"/>
      <c r="I11" s="52"/>
      <c r="J11" s="52"/>
      <c r="K11" s="52"/>
      <c r="L11" s="52"/>
      <c r="M11" s="52"/>
      <c r="N11" s="52"/>
      <c r="O11" s="52"/>
      <c r="P11" s="52"/>
      <c r="Q11" s="52"/>
      <c r="R11" s="52"/>
      <c r="S11" s="52"/>
      <c r="T11" s="52"/>
      <c r="U11" s="52"/>
      <c r="V11" s="52"/>
      <c r="W11" s="52"/>
      <c r="X11" s="52"/>
      <c r="Y11" s="52"/>
      <c r="Z11" s="52"/>
    </row>
    <row r="12" spans="1:26" ht="45">
      <c r="A12" s="30" t="s">
        <v>25</v>
      </c>
      <c r="B12" s="38" t="s">
        <v>26</v>
      </c>
      <c r="C12" s="51">
        <v>43924</v>
      </c>
      <c r="D12" s="30" t="s">
        <v>19</v>
      </c>
      <c r="E12" s="30" t="s">
        <v>27</v>
      </c>
      <c r="F12" s="42" t="str">
        <f>HYPERLINK("https://s3.amazonaws.com/fn-document-service/file-by-sha384/bb2882471c974e2d8ceec88795fab5c131fecb6f7aa46a4e276c93603bc9ea7248494556c789bc7233fca7eafe430a80#page=2","Board of Supervisors Agenda")</f>
        <v>Board of Supervisors Agenda</v>
      </c>
      <c r="G12" s="38" t="s">
        <v>17</v>
      </c>
      <c r="H12" s="52"/>
      <c r="I12" s="52"/>
      <c r="J12" s="52"/>
      <c r="K12" s="52"/>
      <c r="L12" s="52"/>
      <c r="M12" s="52"/>
      <c r="N12" s="52"/>
      <c r="O12" s="52"/>
      <c r="P12" s="52"/>
      <c r="Q12" s="52"/>
      <c r="R12" s="52"/>
      <c r="S12" s="52"/>
      <c r="T12" s="52"/>
      <c r="U12" s="52"/>
      <c r="V12" s="52"/>
      <c r="W12" s="52"/>
      <c r="X12" s="52"/>
      <c r="Y12" s="52"/>
      <c r="Z12" s="52"/>
    </row>
    <row r="13" spans="1:26" ht="30">
      <c r="A13" s="50" t="s">
        <v>25</v>
      </c>
      <c r="B13" s="39" t="s">
        <v>26</v>
      </c>
      <c r="C13" s="51">
        <v>43910</v>
      </c>
      <c r="D13" s="30" t="s">
        <v>8</v>
      </c>
      <c r="E13" s="30" t="s">
        <v>28</v>
      </c>
      <c r="F13" s="42" t="str">
        <f>HYPERLINK("https://azdailysun.com/news/local/coconino-county-jail-releases-nonviolent-inmates-in-light-of-coronavirus/article_a6046904-18ff-532a-9dba-54a58862c50b.html","Coconino County jail releases nonviolent inmates in light of coronavirus concerns")</f>
        <v>Coconino County jail releases nonviolent inmates in light of coronavirus concerns</v>
      </c>
      <c r="G13" s="38" t="s">
        <v>10</v>
      </c>
      <c r="H13" s="52"/>
      <c r="I13" s="52"/>
      <c r="J13" s="52"/>
      <c r="K13" s="52"/>
      <c r="L13" s="52"/>
      <c r="M13" s="52"/>
      <c r="N13" s="52"/>
      <c r="O13" s="52"/>
      <c r="P13" s="52"/>
      <c r="Q13" s="52"/>
      <c r="R13" s="52"/>
      <c r="S13" s="52"/>
      <c r="T13" s="52"/>
      <c r="U13" s="52"/>
      <c r="V13" s="52"/>
      <c r="W13" s="52"/>
      <c r="X13" s="52"/>
      <c r="Y13" s="52"/>
      <c r="Z13" s="52"/>
    </row>
    <row r="14" spans="1:26">
      <c r="A14" s="50" t="s">
        <v>25</v>
      </c>
      <c r="B14" s="39" t="s">
        <v>29</v>
      </c>
      <c r="C14" s="51">
        <v>43914</v>
      </c>
      <c r="D14" s="30" t="s">
        <v>19</v>
      </c>
      <c r="E14" s="30" t="s">
        <v>30</v>
      </c>
      <c r="F14" s="42" t="str">
        <f>HYPERLINK("https://s3.amazonaws.com/fn-document-service/file-by-sha384/a1d0c7c0bbe8cf27ab4a38fa40c839fe770a7f99a50577e42a78f128f02e667925877be9359cb37d76320015c7c7efc5#page=","City of Gendale Meeting Agenda")</f>
        <v>City of Gendale Meeting Agenda</v>
      </c>
      <c r="G14" s="38" t="s">
        <v>10</v>
      </c>
      <c r="H14" s="52"/>
      <c r="I14" s="52"/>
      <c r="J14" s="52"/>
      <c r="K14" s="52"/>
      <c r="L14" s="52"/>
      <c r="M14" s="52"/>
      <c r="N14" s="52"/>
      <c r="O14" s="52"/>
      <c r="P14" s="52"/>
      <c r="Q14" s="52"/>
      <c r="R14" s="52"/>
      <c r="S14" s="52"/>
      <c r="T14" s="52"/>
      <c r="U14" s="52"/>
      <c r="V14" s="52"/>
      <c r="W14" s="52"/>
      <c r="X14" s="52"/>
      <c r="Y14" s="52"/>
      <c r="Z14" s="52"/>
    </row>
    <row r="15" spans="1:26" ht="30">
      <c r="A15" s="50" t="s">
        <v>25</v>
      </c>
      <c r="B15" s="39" t="s">
        <v>31</v>
      </c>
      <c r="C15" s="51">
        <v>43907</v>
      </c>
      <c r="D15" s="30" t="s">
        <v>19</v>
      </c>
      <c r="E15" s="30" t="s">
        <v>32</v>
      </c>
      <c r="F15" s="42" t="s">
        <v>33</v>
      </c>
      <c r="G15" s="38" t="s">
        <v>10</v>
      </c>
      <c r="H15" s="52"/>
      <c r="I15" s="52"/>
      <c r="J15" s="52"/>
      <c r="K15" s="52"/>
      <c r="L15" s="52"/>
      <c r="M15" s="52"/>
      <c r="N15" s="52"/>
      <c r="O15" s="52"/>
      <c r="P15" s="52"/>
      <c r="Q15" s="52"/>
      <c r="R15" s="52"/>
      <c r="S15" s="52"/>
      <c r="T15" s="52"/>
      <c r="U15" s="52"/>
      <c r="V15" s="52"/>
      <c r="W15" s="52"/>
      <c r="X15" s="52"/>
      <c r="Y15" s="52"/>
      <c r="Z15" s="52"/>
    </row>
    <row r="16" spans="1:26" ht="45">
      <c r="A16" s="50" t="s">
        <v>25</v>
      </c>
      <c r="B16" s="39" t="s">
        <v>31</v>
      </c>
      <c r="C16" s="51">
        <v>44012</v>
      </c>
      <c r="D16" s="30" t="s">
        <v>13</v>
      </c>
      <c r="E16" s="30" t="s">
        <v>1130</v>
      </c>
      <c r="F16" s="43" t="s">
        <v>1131</v>
      </c>
      <c r="G16" s="38" t="s">
        <v>10</v>
      </c>
      <c r="H16" s="52"/>
      <c r="I16" s="52"/>
      <c r="J16" s="52"/>
      <c r="K16" s="52"/>
      <c r="L16" s="52"/>
      <c r="M16" s="52"/>
      <c r="N16" s="52"/>
      <c r="O16" s="52"/>
      <c r="P16" s="52"/>
      <c r="Q16" s="52"/>
      <c r="R16" s="52"/>
      <c r="S16" s="52"/>
      <c r="T16" s="52"/>
      <c r="U16" s="52"/>
      <c r="V16" s="52"/>
      <c r="W16" s="52"/>
      <c r="X16" s="52"/>
      <c r="Y16" s="52"/>
      <c r="Z16" s="52"/>
    </row>
    <row r="17" spans="1:26" ht="30">
      <c r="A17" s="50" t="s">
        <v>25</v>
      </c>
      <c r="B17" s="39" t="s">
        <v>34</v>
      </c>
      <c r="C17" s="51">
        <v>43907</v>
      </c>
      <c r="D17" s="30" t="s">
        <v>19</v>
      </c>
      <c r="E17" s="30" t="s">
        <v>35</v>
      </c>
      <c r="F17" s="42" t="s">
        <v>33</v>
      </c>
      <c r="G17" s="38" t="s">
        <v>10</v>
      </c>
      <c r="H17" s="52"/>
      <c r="I17" s="52"/>
      <c r="J17" s="52"/>
      <c r="K17" s="52"/>
      <c r="L17" s="52"/>
      <c r="M17" s="52"/>
      <c r="N17" s="52"/>
      <c r="O17" s="52"/>
      <c r="P17" s="52"/>
      <c r="Q17" s="52"/>
      <c r="R17" s="52"/>
      <c r="S17" s="52"/>
      <c r="T17" s="52"/>
      <c r="U17" s="52"/>
      <c r="V17" s="52"/>
      <c r="W17" s="52"/>
      <c r="X17" s="52"/>
      <c r="Y17" s="52"/>
      <c r="Z17" s="52"/>
    </row>
    <row r="18" spans="1:26" ht="60">
      <c r="A18" s="50" t="s">
        <v>25</v>
      </c>
      <c r="B18" s="39" t="s">
        <v>34</v>
      </c>
      <c r="C18" s="51">
        <v>43942</v>
      </c>
      <c r="D18" s="30" t="s">
        <v>40</v>
      </c>
      <c r="E18" s="30" t="s">
        <v>1018</v>
      </c>
      <c r="F18" s="43" t="s">
        <v>1019</v>
      </c>
      <c r="G18" s="38" t="s">
        <v>10</v>
      </c>
      <c r="H18" s="52"/>
      <c r="I18" s="52"/>
      <c r="J18" s="52"/>
      <c r="K18" s="52"/>
      <c r="L18" s="52"/>
      <c r="M18" s="52"/>
      <c r="N18" s="52"/>
      <c r="O18" s="52"/>
      <c r="P18" s="52"/>
      <c r="Q18" s="52"/>
      <c r="R18" s="52"/>
      <c r="S18" s="52"/>
      <c r="T18" s="52"/>
      <c r="U18" s="52"/>
      <c r="V18" s="52"/>
      <c r="W18" s="52"/>
      <c r="X18" s="52"/>
      <c r="Y18" s="52"/>
      <c r="Z18" s="52"/>
    </row>
    <row r="19" spans="1:26" ht="30">
      <c r="A19" s="50" t="s">
        <v>25</v>
      </c>
      <c r="B19" s="39" t="s">
        <v>36</v>
      </c>
      <c r="C19" s="51">
        <v>43908</v>
      </c>
      <c r="D19" s="30" t="s">
        <v>19</v>
      </c>
      <c r="E19" s="30" t="s">
        <v>37</v>
      </c>
      <c r="F19" s="42" t="s">
        <v>38</v>
      </c>
      <c r="G19" s="38" t="s">
        <v>10</v>
      </c>
      <c r="H19" s="52"/>
      <c r="I19" s="52"/>
      <c r="J19" s="52"/>
      <c r="K19" s="52"/>
      <c r="L19" s="52"/>
      <c r="M19" s="52"/>
      <c r="N19" s="52"/>
      <c r="O19" s="52"/>
      <c r="P19" s="52"/>
      <c r="Q19" s="52"/>
      <c r="R19" s="52"/>
      <c r="S19" s="52"/>
      <c r="T19" s="52"/>
      <c r="U19" s="52"/>
      <c r="V19" s="52"/>
      <c r="W19" s="52"/>
      <c r="X19" s="52"/>
      <c r="Y19" s="52"/>
      <c r="Z19" s="52"/>
    </row>
    <row r="20" spans="1:26" ht="63.75" customHeight="1">
      <c r="A20" s="50" t="s">
        <v>25</v>
      </c>
      <c r="B20" s="39" t="s">
        <v>36</v>
      </c>
      <c r="C20" s="51">
        <v>44133</v>
      </c>
      <c r="D20" s="30" t="s">
        <v>13</v>
      </c>
      <c r="E20" s="30" t="s">
        <v>1425</v>
      </c>
      <c r="F20" s="43" t="s">
        <v>1426</v>
      </c>
      <c r="G20" s="38" t="s">
        <v>10</v>
      </c>
      <c r="H20" s="52"/>
      <c r="I20" s="52"/>
      <c r="J20" s="52"/>
      <c r="K20" s="52"/>
      <c r="L20" s="52"/>
      <c r="M20" s="52"/>
      <c r="N20" s="52"/>
      <c r="O20" s="52"/>
      <c r="P20" s="52"/>
      <c r="Q20" s="52"/>
      <c r="R20" s="52"/>
      <c r="S20" s="52"/>
      <c r="T20" s="52"/>
      <c r="U20" s="52"/>
      <c r="V20" s="52"/>
      <c r="W20" s="52"/>
      <c r="X20" s="52"/>
      <c r="Y20" s="52"/>
      <c r="Z20" s="52"/>
    </row>
    <row r="21" spans="1:26" ht="45">
      <c r="A21" s="50" t="s">
        <v>25</v>
      </c>
      <c r="B21" s="39" t="s">
        <v>18</v>
      </c>
      <c r="C21" s="51">
        <v>44029</v>
      </c>
      <c r="D21" s="30" t="s">
        <v>19</v>
      </c>
      <c r="E21" s="30" t="s">
        <v>1109</v>
      </c>
      <c r="F21" s="43" t="str">
        <f>HYPERLINK("https://s3.amazonaws.com/fn-document-service/file-by-sha384/e0334721edc9047b57cf3e7307d2e5cbbd2d533b56409401014766e02dd877e9869450a55746e87448f99f3319377cfa","Continued Postponement of Eviction Enforcement Actions")</f>
        <v>Continued Postponement of Eviction Enforcement Actions</v>
      </c>
      <c r="G21" s="38" t="s">
        <v>10</v>
      </c>
      <c r="H21" s="52"/>
      <c r="I21" s="52"/>
      <c r="J21" s="52"/>
      <c r="K21" s="52"/>
      <c r="L21" s="52"/>
      <c r="M21" s="52"/>
      <c r="N21" s="52"/>
      <c r="O21" s="52"/>
      <c r="P21" s="52"/>
      <c r="Q21" s="52"/>
      <c r="R21" s="52"/>
      <c r="S21" s="52"/>
      <c r="T21" s="52"/>
      <c r="U21" s="52"/>
      <c r="V21" s="52"/>
      <c r="W21" s="52"/>
      <c r="X21" s="52"/>
      <c r="Y21" s="52"/>
      <c r="Z21" s="52"/>
    </row>
    <row r="22" spans="1:26" ht="60">
      <c r="A22" s="50" t="s">
        <v>25</v>
      </c>
      <c r="B22" s="39" t="s">
        <v>18</v>
      </c>
      <c r="C22" s="51">
        <v>43918</v>
      </c>
      <c r="D22" s="30" t="s">
        <v>40</v>
      </c>
      <c r="E22" s="30" t="s">
        <v>41</v>
      </c>
      <c r="F22" s="42" t="str">
        <f>HYPERLINK("https://apps.azleg.gov/BillStatus/BillOverview/74224","SB 1687 - human services; budget reconciliation; 2020-2021.")</f>
        <v>SB 1687 - human services; budget reconciliation; 2020-2021.</v>
      </c>
      <c r="G22" s="38" t="s">
        <v>24</v>
      </c>
      <c r="H22" s="52"/>
      <c r="I22" s="52"/>
      <c r="J22" s="52"/>
      <c r="K22" s="52"/>
      <c r="L22" s="52"/>
      <c r="M22" s="52"/>
      <c r="N22" s="52"/>
      <c r="O22" s="52"/>
      <c r="P22" s="52"/>
      <c r="Q22" s="52"/>
      <c r="R22" s="52"/>
      <c r="S22" s="52"/>
      <c r="T22" s="52"/>
      <c r="U22" s="52"/>
      <c r="V22" s="52"/>
      <c r="W22" s="52"/>
      <c r="X22" s="52"/>
      <c r="Y22" s="52"/>
      <c r="Z22" s="52"/>
    </row>
    <row r="23" spans="1:26" ht="45">
      <c r="A23" s="50" t="s">
        <v>25</v>
      </c>
      <c r="B23" s="39" t="s">
        <v>18</v>
      </c>
      <c r="C23" s="51">
        <v>43918</v>
      </c>
      <c r="D23" s="30" t="s">
        <v>40</v>
      </c>
      <c r="E23" s="30" t="s">
        <v>42</v>
      </c>
      <c r="F23" s="42" t="str">
        <f>HYPERLINK("https://apps.azleg.gov/BillStatus/BillOverview/74227","SB 1690")</f>
        <v>SB 1690</v>
      </c>
      <c r="G23" s="38" t="s">
        <v>24</v>
      </c>
      <c r="H23" s="52"/>
      <c r="I23" s="52"/>
      <c r="J23" s="52"/>
      <c r="K23" s="52"/>
      <c r="L23" s="52"/>
      <c r="M23" s="52"/>
      <c r="N23" s="52"/>
      <c r="O23" s="52"/>
      <c r="P23" s="52"/>
      <c r="Q23" s="52"/>
      <c r="R23" s="52"/>
      <c r="S23" s="52"/>
      <c r="T23" s="52"/>
      <c r="U23" s="52"/>
      <c r="V23" s="52"/>
      <c r="W23" s="52"/>
      <c r="X23" s="52"/>
      <c r="Y23" s="52"/>
      <c r="Z23" s="52"/>
    </row>
    <row r="24" spans="1:26" ht="63.75" customHeight="1">
      <c r="A24" s="50" t="s">
        <v>25</v>
      </c>
      <c r="B24" s="39" t="s">
        <v>18</v>
      </c>
      <c r="C24" s="51">
        <v>43917</v>
      </c>
      <c r="D24" s="30" t="s">
        <v>13</v>
      </c>
      <c r="E24" s="30" t="s">
        <v>39</v>
      </c>
      <c r="F24" s="42" t="str">
        <f>HYPERLINK("https://www.azcentral.com/story/news/local/arizona-health/2020/03/27/ducey-announces-5-million-rental-assistance-during-coronavirus/2930296001/","Struggling renters impacted by COVID-19 could benefit from Arizona's new $5M rental assistance program")</f>
        <v>Struggling renters impacted by COVID-19 could benefit from Arizona's new $5M rental assistance program</v>
      </c>
      <c r="G24" s="38" t="s">
        <v>10</v>
      </c>
      <c r="H24" s="52"/>
      <c r="I24" s="52"/>
      <c r="J24" s="52"/>
      <c r="K24" s="52"/>
      <c r="L24" s="52"/>
      <c r="M24" s="52"/>
      <c r="N24" s="52"/>
      <c r="O24" s="52"/>
      <c r="P24" s="52"/>
      <c r="Q24" s="52"/>
      <c r="R24" s="52"/>
      <c r="S24" s="52"/>
      <c r="T24" s="52"/>
      <c r="U24" s="52"/>
      <c r="V24" s="52"/>
      <c r="W24" s="52"/>
      <c r="X24" s="52"/>
      <c r="Y24" s="52"/>
      <c r="Z24" s="52"/>
    </row>
    <row r="25" spans="1:26" ht="45">
      <c r="A25" s="50" t="s">
        <v>43</v>
      </c>
      <c r="B25" s="39" t="s">
        <v>44</v>
      </c>
      <c r="C25" s="51">
        <v>43908</v>
      </c>
      <c r="D25" s="30" t="s">
        <v>19</v>
      </c>
      <c r="E25" s="30" t="s">
        <v>45</v>
      </c>
      <c r="F25" s="42" t="str">
        <f>HYPERLINK("https://www.nwaonline.com/news/2020/mar/18/lr-agency-won-t-evict-public-housing-te/","L-R Agencies won't evict public-housing tenants")</f>
        <v>L-R Agencies won't evict public-housing tenants</v>
      </c>
      <c r="G25" s="38" t="s">
        <v>10</v>
      </c>
      <c r="H25" s="52"/>
      <c r="I25" s="52"/>
      <c r="J25" s="52"/>
      <c r="K25" s="52"/>
      <c r="L25" s="52"/>
      <c r="M25" s="52"/>
      <c r="N25" s="52"/>
      <c r="O25" s="52"/>
      <c r="P25" s="52"/>
      <c r="Q25" s="52"/>
      <c r="R25" s="52"/>
      <c r="S25" s="52"/>
      <c r="T25" s="52"/>
      <c r="U25" s="52"/>
      <c r="V25" s="52"/>
      <c r="W25" s="52"/>
      <c r="X25" s="52"/>
      <c r="Y25" s="52"/>
      <c r="Z25" s="52"/>
    </row>
    <row r="26" spans="1:26" ht="60">
      <c r="A26" s="50" t="s">
        <v>43</v>
      </c>
      <c r="B26" s="39" t="s">
        <v>18</v>
      </c>
      <c r="C26" s="51">
        <v>43918</v>
      </c>
      <c r="D26" s="30" t="s">
        <v>40</v>
      </c>
      <c r="E26" s="30" t="s">
        <v>46</v>
      </c>
      <c r="F26" s="42" t="str">
        <f>HYPERLINK("https://www.arkleg.state.ar.us/Bills/Detail?id=SB2&amp;ddBienniumSession=2019%2F2020S1","SB2 - AN ACT TO CREATE THE COVID-19 RAINY DAY FUND; TO TRANSFER FUNDS TO THE COVID-19 RAINY DAY FUND; AND TO DECLARE AN EMERGENCY")</f>
        <v>SB2 - AN ACT TO CREATE THE COVID-19 RAINY DAY FUND; TO TRANSFER FUNDS TO THE COVID-19 RAINY DAY FUND; AND TO DECLARE AN EMERGENCY</v>
      </c>
      <c r="G26" s="38" t="s">
        <v>24</v>
      </c>
      <c r="H26" s="52"/>
      <c r="I26" s="52"/>
      <c r="J26" s="52"/>
      <c r="K26" s="52"/>
      <c r="L26" s="52"/>
      <c r="M26" s="52"/>
      <c r="N26" s="52"/>
      <c r="O26" s="52"/>
      <c r="P26" s="52"/>
      <c r="Q26" s="52"/>
      <c r="R26" s="52"/>
      <c r="S26" s="52"/>
      <c r="T26" s="52"/>
      <c r="U26" s="52"/>
      <c r="V26" s="52"/>
      <c r="W26" s="52"/>
      <c r="X26" s="52"/>
      <c r="Y26" s="52"/>
      <c r="Z26" s="52"/>
    </row>
    <row r="27" spans="1:26" ht="77.25" customHeight="1">
      <c r="A27" s="50" t="s">
        <v>43</v>
      </c>
      <c r="B27" s="39" t="s">
        <v>18</v>
      </c>
      <c r="C27" s="51">
        <v>44124</v>
      </c>
      <c r="D27" s="30" t="s">
        <v>13</v>
      </c>
      <c r="E27" s="30" t="s">
        <v>1427</v>
      </c>
      <c r="F27" s="43" t="s">
        <v>1428</v>
      </c>
      <c r="G27" s="38" t="s">
        <v>10</v>
      </c>
      <c r="H27" s="52"/>
      <c r="I27" s="52"/>
      <c r="J27" s="52"/>
      <c r="K27" s="52"/>
      <c r="L27" s="52"/>
      <c r="M27" s="52"/>
      <c r="N27" s="52"/>
      <c r="O27" s="52"/>
      <c r="P27" s="52"/>
      <c r="Q27" s="52"/>
      <c r="R27" s="52"/>
      <c r="S27" s="52"/>
      <c r="T27" s="52"/>
      <c r="U27" s="52"/>
      <c r="V27" s="52"/>
      <c r="W27" s="52"/>
      <c r="X27" s="52"/>
      <c r="Y27" s="52"/>
      <c r="Z27" s="52"/>
    </row>
    <row r="28" spans="1:26" ht="62.25" customHeight="1">
      <c r="A28" s="50" t="s">
        <v>47</v>
      </c>
      <c r="B28" s="39" t="s">
        <v>52</v>
      </c>
      <c r="C28" s="51">
        <v>43942</v>
      </c>
      <c r="D28" s="51" t="s">
        <v>19</v>
      </c>
      <c r="E28" s="30" t="s">
        <v>53</v>
      </c>
      <c r="F28" s="43" t="str">
        <f>HYPERLINK("https://s3.amazonaws.com/fn-document-service/file-by-sha384/4f6bca2f5f1d04be27dbf9f8b641133136c138542b046ca06b3f5880ab14cf9dd792dbc5f742031a6468000cc4dd4f7f#page=6","City of Alameda Meeting Agenda")</f>
        <v>City of Alameda Meeting Agenda</v>
      </c>
      <c r="G28" s="38" t="s">
        <v>17</v>
      </c>
      <c r="H28" s="52"/>
      <c r="I28" s="52"/>
      <c r="J28" s="52"/>
      <c r="K28" s="52"/>
      <c r="L28" s="52"/>
      <c r="M28" s="52"/>
      <c r="N28" s="52"/>
      <c r="O28" s="52"/>
      <c r="P28" s="52"/>
      <c r="Q28" s="52"/>
      <c r="R28" s="52"/>
      <c r="S28" s="52"/>
      <c r="T28" s="52"/>
      <c r="U28" s="52"/>
      <c r="V28" s="52"/>
      <c r="W28" s="52"/>
      <c r="X28" s="52"/>
      <c r="Y28" s="52"/>
      <c r="Z28" s="52"/>
    </row>
    <row r="29" spans="1:26" ht="30">
      <c r="A29" s="50" t="s">
        <v>47</v>
      </c>
      <c r="B29" s="39" t="s">
        <v>48</v>
      </c>
      <c r="C29" s="51">
        <v>43963</v>
      </c>
      <c r="D29" s="51" t="s">
        <v>19</v>
      </c>
      <c r="E29" s="30" t="s">
        <v>54</v>
      </c>
      <c r="F29" s="43" t="s">
        <v>55</v>
      </c>
      <c r="G29" s="38" t="s">
        <v>10</v>
      </c>
      <c r="H29" s="52"/>
      <c r="I29" s="52"/>
      <c r="J29" s="52"/>
      <c r="K29" s="52"/>
      <c r="L29" s="52"/>
      <c r="M29" s="52"/>
      <c r="N29" s="52"/>
      <c r="O29" s="52"/>
      <c r="P29" s="52"/>
      <c r="Q29" s="52"/>
      <c r="R29" s="52"/>
      <c r="S29" s="52"/>
      <c r="T29" s="52"/>
      <c r="U29" s="52"/>
      <c r="V29" s="52"/>
      <c r="W29" s="52"/>
      <c r="X29" s="52"/>
      <c r="Y29" s="52"/>
      <c r="Z29" s="52"/>
    </row>
    <row r="30" spans="1:26" ht="78" customHeight="1">
      <c r="A30" s="50" t="s">
        <v>47</v>
      </c>
      <c r="B30" s="39" t="s">
        <v>48</v>
      </c>
      <c r="C30" s="51">
        <v>43963</v>
      </c>
      <c r="D30" s="30" t="s">
        <v>49</v>
      </c>
      <c r="E30" s="30" t="s">
        <v>1334</v>
      </c>
      <c r="F30" s="42" t="s">
        <v>50</v>
      </c>
      <c r="G30" s="38" t="s">
        <v>51</v>
      </c>
      <c r="H30" s="52"/>
      <c r="I30" s="52"/>
      <c r="J30" s="52"/>
      <c r="K30" s="52"/>
      <c r="L30" s="52"/>
      <c r="M30" s="52"/>
      <c r="N30" s="52"/>
      <c r="O30" s="52"/>
      <c r="P30" s="52"/>
      <c r="Q30" s="52"/>
      <c r="R30" s="52"/>
      <c r="S30" s="52"/>
      <c r="T30" s="52"/>
      <c r="U30" s="52"/>
      <c r="V30" s="52"/>
      <c r="W30" s="52"/>
      <c r="X30" s="52"/>
      <c r="Y30" s="52"/>
      <c r="Z30" s="52"/>
    </row>
    <row r="31" spans="1:26" ht="45">
      <c r="A31" s="50" t="s">
        <v>47</v>
      </c>
      <c r="B31" s="39" t="s">
        <v>56</v>
      </c>
      <c r="C31" s="51">
        <v>43949</v>
      </c>
      <c r="D31" s="51" t="s">
        <v>13</v>
      </c>
      <c r="E31" s="30" t="s">
        <v>57</v>
      </c>
      <c r="F31" s="43" t="s">
        <v>58</v>
      </c>
      <c r="G31" s="38" t="s">
        <v>10</v>
      </c>
      <c r="H31" s="52"/>
      <c r="I31" s="52"/>
      <c r="J31" s="52"/>
      <c r="K31" s="52"/>
      <c r="L31" s="52"/>
      <c r="M31" s="52"/>
      <c r="N31" s="52"/>
      <c r="O31" s="52"/>
      <c r="P31" s="52"/>
      <c r="Q31" s="52"/>
      <c r="R31" s="52"/>
      <c r="S31" s="52"/>
      <c r="T31" s="52"/>
      <c r="U31" s="52"/>
      <c r="V31" s="52"/>
      <c r="W31" s="52"/>
      <c r="X31" s="52"/>
      <c r="Y31" s="52"/>
      <c r="Z31" s="52"/>
    </row>
    <row r="32" spans="1:26" ht="30">
      <c r="A32" s="50" t="s">
        <v>47</v>
      </c>
      <c r="B32" s="39" t="s">
        <v>59</v>
      </c>
      <c r="C32" s="51">
        <v>43956</v>
      </c>
      <c r="D32" s="30" t="s">
        <v>19</v>
      </c>
      <c r="E32" s="30" t="s">
        <v>60</v>
      </c>
      <c r="F32" s="43" t="str">
        <f>HYPERLINK("https://s3.amazonaws.com/fn-document-service/file-by-sha384/96297e367cc113dde9064e64e7a0d164a61df793ddf36da75ecd7bbe2e247dff6e963bd1eb3ba3e8564bf1a7d59d13af#page=G25","City Council Agenda")</f>
        <v>City Council Agenda</v>
      </c>
      <c r="G32" s="39" t="s">
        <v>10</v>
      </c>
      <c r="H32" s="52"/>
      <c r="I32" s="52"/>
      <c r="J32" s="52"/>
      <c r="K32" s="52"/>
      <c r="L32" s="52"/>
      <c r="M32" s="52"/>
      <c r="N32" s="52"/>
      <c r="O32" s="52"/>
      <c r="P32" s="52"/>
      <c r="Q32" s="52"/>
      <c r="R32" s="52"/>
      <c r="S32" s="52"/>
      <c r="T32" s="52"/>
      <c r="U32" s="52"/>
      <c r="V32" s="52"/>
      <c r="W32" s="52"/>
      <c r="X32" s="52"/>
      <c r="Y32" s="52"/>
      <c r="Z32" s="52"/>
    </row>
    <row r="33" spans="1:26" ht="30">
      <c r="A33" s="50" t="s">
        <v>47</v>
      </c>
      <c r="B33" s="39" t="s">
        <v>59</v>
      </c>
      <c r="C33" s="51">
        <v>43916</v>
      </c>
      <c r="D33" s="30" t="s">
        <v>40</v>
      </c>
      <c r="E33" s="30" t="s">
        <v>61</v>
      </c>
      <c r="F33" s="42" t="str">
        <f>HYPERLINK("https://s3.amazonaws.com/fn-document-service/file-by-sha384/bffe9d673a809dc460ca1d01b565dc764b0ab3dd6f866fc4e4815b06c176b7aa02e4f28c1db689d5907e03a46da58ec1#page=","City Council Agenda")</f>
        <v>City Council Agenda</v>
      </c>
      <c r="G33" s="39" t="s">
        <v>10</v>
      </c>
      <c r="H33" s="52"/>
      <c r="I33" s="52"/>
      <c r="J33" s="52"/>
      <c r="K33" s="52"/>
      <c r="L33" s="52"/>
      <c r="M33" s="52"/>
      <c r="N33" s="52"/>
      <c r="O33" s="52"/>
      <c r="P33" s="52"/>
      <c r="Q33" s="52"/>
      <c r="R33" s="52"/>
      <c r="S33" s="52"/>
      <c r="T33" s="52"/>
      <c r="U33" s="52"/>
      <c r="V33" s="52"/>
      <c r="W33" s="52"/>
      <c r="X33" s="52"/>
      <c r="Y33" s="52"/>
      <c r="Z33" s="52"/>
    </row>
    <row r="34" spans="1:26" ht="18" customHeight="1">
      <c r="A34" s="50" t="s">
        <v>47</v>
      </c>
      <c r="B34" s="39" t="s">
        <v>62</v>
      </c>
      <c r="C34" s="51">
        <v>43921</v>
      </c>
      <c r="D34" s="30" t="s">
        <v>19</v>
      </c>
      <c r="E34" s="30" t="s">
        <v>63</v>
      </c>
      <c r="F34" s="42" t="str">
        <f>HYPERLINK("https://s3.amazonaws.com/fn-document-service/file-by-sha384/2106b950cc48c4da169eee92b0c94dae7c13f7d91c7e023a81fac4c903fe0e402ac62a1cd0e1a32e34f1407f56ae14d1#page=4","City Council Agenda")</f>
        <v>City Council Agenda</v>
      </c>
      <c r="G34" s="39" t="s">
        <v>10</v>
      </c>
      <c r="H34" s="52"/>
      <c r="I34" s="52"/>
      <c r="J34" s="52"/>
      <c r="K34" s="52"/>
      <c r="L34" s="52"/>
      <c r="M34" s="52"/>
      <c r="N34" s="52"/>
      <c r="O34" s="52"/>
      <c r="P34" s="52"/>
      <c r="Q34" s="52"/>
      <c r="R34" s="52"/>
      <c r="S34" s="52"/>
      <c r="T34" s="52"/>
      <c r="U34" s="52"/>
      <c r="V34" s="52"/>
      <c r="W34" s="52"/>
      <c r="X34" s="52"/>
      <c r="Y34" s="52"/>
      <c r="Z34" s="52"/>
    </row>
    <row r="35" spans="1:26" ht="90">
      <c r="A35" s="50" t="s">
        <v>47</v>
      </c>
      <c r="B35" s="39" t="s">
        <v>1132</v>
      </c>
      <c r="C35" s="51">
        <v>44036</v>
      </c>
      <c r="D35" s="30" t="s">
        <v>13</v>
      </c>
      <c r="E35" s="30" t="s">
        <v>1134</v>
      </c>
      <c r="F35" s="43" t="s">
        <v>1133</v>
      </c>
      <c r="G35" s="39" t="s">
        <v>10</v>
      </c>
      <c r="H35" s="52"/>
      <c r="I35" s="52"/>
      <c r="J35" s="52"/>
      <c r="K35" s="52"/>
      <c r="L35" s="52"/>
      <c r="M35" s="52"/>
      <c r="N35" s="52"/>
      <c r="O35" s="52"/>
      <c r="P35" s="52"/>
      <c r="Q35" s="52"/>
      <c r="R35" s="52"/>
      <c r="S35" s="52"/>
      <c r="T35" s="52"/>
      <c r="U35" s="52"/>
      <c r="V35" s="52"/>
      <c r="W35" s="52"/>
      <c r="X35" s="52"/>
      <c r="Y35" s="52"/>
      <c r="Z35" s="52"/>
    </row>
    <row r="36" spans="1:26" ht="48" customHeight="1">
      <c r="A36" s="50" t="s">
        <v>47</v>
      </c>
      <c r="B36" s="39" t="s">
        <v>64</v>
      </c>
      <c r="C36" s="51">
        <v>43910</v>
      </c>
      <c r="D36" s="30" t="s">
        <v>19</v>
      </c>
      <c r="E36" s="30" t="s">
        <v>65</v>
      </c>
      <c r="F36" s="42" t="str">
        <f>HYPERLINK("https://lostcoastoutpost.com/2020/mar/20/arcata-consider-moratorium-evictions-are-related-c/","heriff’s Office Not Currently Enforcing Evictions Due to Pandemic; Arcata Will Consider Moratorium")</f>
        <v>heriff’s Office Not Currently Enforcing Evictions Due to Pandemic; Arcata Will Consider Moratorium</v>
      </c>
      <c r="G36" s="39" t="s">
        <v>10</v>
      </c>
      <c r="H36" s="52"/>
      <c r="I36" s="52"/>
      <c r="J36" s="52"/>
      <c r="K36" s="52"/>
      <c r="L36" s="52"/>
      <c r="M36" s="52"/>
      <c r="N36" s="52"/>
      <c r="O36" s="52"/>
      <c r="P36" s="52"/>
      <c r="Q36" s="52"/>
      <c r="R36" s="52"/>
      <c r="S36" s="52"/>
      <c r="T36" s="52"/>
      <c r="U36" s="52"/>
      <c r="V36" s="52"/>
      <c r="W36" s="52"/>
      <c r="X36" s="52"/>
      <c r="Y36" s="52"/>
      <c r="Z36" s="52"/>
    </row>
    <row r="37" spans="1:26">
      <c r="A37" s="50" t="s">
        <v>47</v>
      </c>
      <c r="B37" s="39" t="s">
        <v>66</v>
      </c>
      <c r="C37" s="51">
        <v>43936</v>
      </c>
      <c r="D37" s="30" t="s">
        <v>19</v>
      </c>
      <c r="E37" s="30" t="s">
        <v>67</v>
      </c>
      <c r="F37" s="42" t="s">
        <v>68</v>
      </c>
      <c r="G37" s="39" t="s">
        <v>10</v>
      </c>
      <c r="H37" s="52"/>
      <c r="I37" s="52"/>
      <c r="J37" s="52"/>
      <c r="K37" s="52"/>
      <c r="L37" s="52"/>
      <c r="M37" s="52"/>
      <c r="N37" s="52"/>
      <c r="O37" s="52"/>
      <c r="P37" s="52"/>
      <c r="Q37" s="52"/>
      <c r="R37" s="52"/>
      <c r="S37" s="52"/>
      <c r="T37" s="52"/>
      <c r="U37" s="52"/>
      <c r="V37" s="52"/>
      <c r="W37" s="52"/>
      <c r="X37" s="52"/>
      <c r="Y37" s="52"/>
      <c r="Z37" s="52"/>
    </row>
    <row r="38" spans="1:26" ht="45">
      <c r="A38" s="30" t="s">
        <v>47</v>
      </c>
      <c r="B38" s="38" t="s">
        <v>69</v>
      </c>
      <c r="C38" s="51">
        <v>43935</v>
      </c>
      <c r="D38" s="30" t="s">
        <v>19</v>
      </c>
      <c r="E38" s="30" t="s">
        <v>70</v>
      </c>
      <c r="F38" s="42" t="str">
        <f>HYPERLINK("https://s3.amazonaws.com/fn-document-service/file-by-sha384/e2cd348549693bc4bfed338524444fa67b08fb72a252d1dab0c1c851f5b05a135f28797a57e15f46fd42958f2f7946e2#page=4","City Council Agenda")</f>
        <v>City Council Agenda</v>
      </c>
      <c r="G38" s="38" t="s">
        <v>10</v>
      </c>
      <c r="H38" s="52"/>
      <c r="I38" s="52"/>
      <c r="J38" s="52"/>
      <c r="K38" s="52"/>
      <c r="L38" s="52"/>
      <c r="M38" s="52"/>
      <c r="N38" s="52"/>
      <c r="O38" s="52"/>
      <c r="P38" s="52"/>
      <c r="Q38" s="52"/>
      <c r="R38" s="52"/>
      <c r="S38" s="52"/>
      <c r="T38" s="52"/>
      <c r="U38" s="52"/>
      <c r="V38" s="52"/>
      <c r="W38" s="52"/>
      <c r="X38" s="52"/>
      <c r="Y38" s="52"/>
      <c r="Z38" s="52"/>
    </row>
    <row r="39" spans="1:26">
      <c r="A39" s="30" t="s">
        <v>47</v>
      </c>
      <c r="B39" s="38" t="s">
        <v>71</v>
      </c>
      <c r="C39" s="51">
        <v>43984</v>
      </c>
      <c r="D39" s="30" t="s">
        <v>19</v>
      </c>
      <c r="E39" s="30" t="s">
        <v>72</v>
      </c>
      <c r="F39" s="43" t="str">
        <f>HYPERLINK("https://s3.amazonaws.com/fn-document-service/file-by-sha384/8db5d3dab6c83d4e337386f26d74f2df9fd4dee3f49d0043fec8776a3e9d29584c676000639453a5a5b3122b2a9693bf#page=","City Council Agenda")</f>
        <v>City Council Agenda</v>
      </c>
      <c r="G39" s="38" t="s">
        <v>10</v>
      </c>
      <c r="H39" s="52"/>
      <c r="I39" s="52"/>
      <c r="J39" s="52"/>
      <c r="K39" s="52"/>
      <c r="L39" s="52"/>
      <c r="M39" s="52"/>
      <c r="N39" s="52"/>
      <c r="O39" s="52"/>
      <c r="P39" s="52"/>
      <c r="Q39" s="52"/>
      <c r="R39" s="52"/>
      <c r="S39" s="52"/>
      <c r="T39" s="52"/>
      <c r="U39" s="52"/>
      <c r="V39" s="52"/>
      <c r="W39" s="52"/>
      <c r="X39" s="52"/>
      <c r="Y39" s="52"/>
      <c r="Z39" s="52"/>
    </row>
    <row r="40" spans="1:26" ht="30">
      <c r="A40" s="50" t="s">
        <v>47</v>
      </c>
      <c r="B40" s="39" t="s">
        <v>73</v>
      </c>
      <c r="C40" s="51">
        <v>43910</v>
      </c>
      <c r="D40" s="30" t="s">
        <v>19</v>
      </c>
      <c r="E40" s="30" t="s">
        <v>74</v>
      </c>
      <c r="F40" s="42" t="str">
        <f>HYPERLINK("https://s3.amazonaws.com/fn-document-service/file-by-sha384/703f1428bfaf0fe569b1fb376c7dce4befd97cc9935f5bbf10d87b6d2222efcb1cad284a3310f4012bf486dcf8382090#page=4","City Council Meeting Agenda")</f>
        <v>City Council Meeting Agenda</v>
      </c>
      <c r="G40" s="38" t="s">
        <v>10</v>
      </c>
      <c r="H40" s="52"/>
      <c r="I40" s="52"/>
      <c r="J40" s="52"/>
      <c r="K40" s="52"/>
      <c r="L40" s="52"/>
      <c r="M40" s="52"/>
      <c r="N40" s="52"/>
      <c r="O40" s="52"/>
      <c r="P40" s="52"/>
      <c r="Q40" s="52"/>
      <c r="R40" s="52"/>
      <c r="S40" s="52"/>
      <c r="T40" s="52"/>
      <c r="U40" s="52"/>
      <c r="V40" s="52"/>
      <c r="W40" s="52"/>
      <c r="X40" s="52"/>
      <c r="Y40" s="52"/>
      <c r="Z40" s="52"/>
    </row>
    <row r="41" spans="1:26" ht="30">
      <c r="A41" s="30" t="s">
        <v>47</v>
      </c>
      <c r="B41" s="38" t="s">
        <v>75</v>
      </c>
      <c r="C41" s="51">
        <v>43928</v>
      </c>
      <c r="D41" s="30" t="s">
        <v>19</v>
      </c>
      <c r="E41" s="30" t="s">
        <v>76</v>
      </c>
      <c r="F41" s="42" t="str">
        <f>HYPERLINK("https://s3.amazonaws.com/fn-document-service/file-by-sha384/8261e032acdf5c1567d4cc080e51dab97a0e1859d741f3eaa9fe853b56485f8c828537fce360d89390a8899c6bac5ef4#page=10","City Council Meeting Agenda")</f>
        <v>City Council Meeting Agenda</v>
      </c>
      <c r="G41" s="38" t="s">
        <v>10</v>
      </c>
      <c r="H41" s="52"/>
      <c r="I41" s="52"/>
      <c r="J41" s="52"/>
      <c r="K41" s="52"/>
      <c r="L41" s="52"/>
      <c r="M41" s="52"/>
      <c r="N41" s="52"/>
      <c r="O41" s="52"/>
      <c r="P41" s="52"/>
      <c r="Q41" s="52"/>
      <c r="R41" s="52"/>
      <c r="S41" s="52"/>
      <c r="T41" s="52"/>
      <c r="U41" s="52"/>
      <c r="V41" s="52"/>
      <c r="W41" s="52"/>
      <c r="X41" s="52"/>
      <c r="Y41" s="52"/>
      <c r="Z41" s="52"/>
    </row>
    <row r="42" spans="1:26" ht="45">
      <c r="A42" s="50" t="s">
        <v>47</v>
      </c>
      <c r="B42" s="39" t="s">
        <v>77</v>
      </c>
      <c r="C42" s="51">
        <v>43977</v>
      </c>
      <c r="D42" s="51" t="s">
        <v>19</v>
      </c>
      <c r="E42" s="30" t="s">
        <v>78</v>
      </c>
      <c r="F42" s="43" t="s">
        <v>79</v>
      </c>
      <c r="G42" s="38" t="s">
        <v>10</v>
      </c>
      <c r="H42" s="52"/>
      <c r="I42" s="52"/>
      <c r="J42" s="52"/>
      <c r="K42" s="52"/>
      <c r="L42" s="52"/>
      <c r="M42" s="52"/>
      <c r="N42" s="52"/>
      <c r="O42" s="52"/>
      <c r="P42" s="52"/>
      <c r="Q42" s="52"/>
      <c r="R42" s="52"/>
      <c r="S42" s="52"/>
      <c r="T42" s="52"/>
      <c r="U42" s="52"/>
      <c r="V42" s="52"/>
      <c r="W42" s="52"/>
      <c r="X42" s="52"/>
      <c r="Y42" s="52"/>
      <c r="Z42" s="52"/>
    </row>
    <row r="43" spans="1:26" ht="105">
      <c r="A43" s="50" t="s">
        <v>47</v>
      </c>
      <c r="B43" s="39" t="s">
        <v>80</v>
      </c>
      <c r="C43" s="51">
        <v>43921</v>
      </c>
      <c r="D43" s="30" t="s">
        <v>19</v>
      </c>
      <c r="E43" s="30" t="s">
        <v>81</v>
      </c>
      <c r="F43" s="42" t="str">
        <f>HYPERLINK("https://s3.amazonaws.com/fn-document-service/file-by-sha384/fbebf1b20eb10cc659c53ce86941a61acaa1a71c476594edbe1483bc8b52d8d2b8a72455c18e4fac8afc3abcdd1b3b6d#page=2","City Council Meeting Agenda")</f>
        <v>City Council Meeting Agenda</v>
      </c>
      <c r="G43" s="38" t="s">
        <v>10</v>
      </c>
      <c r="H43" s="52"/>
      <c r="I43" s="52"/>
      <c r="J43" s="52"/>
      <c r="K43" s="52"/>
      <c r="L43" s="52"/>
      <c r="M43" s="52"/>
      <c r="N43" s="52"/>
      <c r="O43" s="52"/>
      <c r="P43" s="52"/>
      <c r="Q43" s="52"/>
      <c r="R43" s="52"/>
      <c r="S43" s="52"/>
      <c r="T43" s="52"/>
      <c r="U43" s="52"/>
      <c r="V43" s="52"/>
      <c r="W43" s="52"/>
      <c r="X43" s="52"/>
      <c r="Y43" s="52"/>
      <c r="Z43" s="52"/>
    </row>
    <row r="44" spans="1:26" ht="60">
      <c r="A44" s="50" t="s">
        <v>47</v>
      </c>
      <c r="B44" s="39" t="s">
        <v>82</v>
      </c>
      <c r="C44" s="51">
        <v>43922</v>
      </c>
      <c r="D44" s="30" t="s">
        <v>19</v>
      </c>
      <c r="E44" s="30" t="s">
        <v>83</v>
      </c>
      <c r="F44" s="42" t="str">
        <f>HYPERLINK("https://s3.amazonaws.com/fn-document-service/file-by-sha384/f3f9d219a2e3f9a23e3905915d37c18feaebd408b62816f9d5a6cc33b13869078e2d8a27391bb16434114329615b7de3#page=7","CIty Council Meeting Agenda")</f>
        <v>CIty Council Meeting Agenda</v>
      </c>
      <c r="G44" s="38" t="s">
        <v>17</v>
      </c>
      <c r="H44" s="52"/>
      <c r="I44" s="52"/>
      <c r="J44" s="52"/>
      <c r="K44" s="52"/>
      <c r="L44" s="52"/>
      <c r="M44" s="52"/>
      <c r="N44" s="52"/>
      <c r="O44" s="52"/>
      <c r="P44" s="52"/>
      <c r="Q44" s="52"/>
      <c r="R44" s="52"/>
      <c r="S44" s="52"/>
      <c r="T44" s="52"/>
      <c r="U44" s="52"/>
      <c r="V44" s="52"/>
      <c r="W44" s="52"/>
      <c r="X44" s="52"/>
      <c r="Y44" s="52"/>
      <c r="Z44" s="52"/>
    </row>
    <row r="45" spans="1:26" ht="60">
      <c r="A45" s="50" t="s">
        <v>47</v>
      </c>
      <c r="B45" s="39" t="s">
        <v>1135</v>
      </c>
      <c r="C45" s="51"/>
      <c r="D45" s="30" t="s">
        <v>13</v>
      </c>
      <c r="E45" s="30" t="s">
        <v>1136</v>
      </c>
      <c r="F45" s="43" t="s">
        <v>1137</v>
      </c>
      <c r="G45" s="38" t="s">
        <v>51</v>
      </c>
      <c r="H45" s="52"/>
      <c r="I45" s="52"/>
      <c r="J45" s="52"/>
      <c r="K45" s="52"/>
      <c r="L45" s="52"/>
      <c r="M45" s="52"/>
      <c r="N45" s="52"/>
      <c r="O45" s="52"/>
      <c r="P45" s="52"/>
      <c r="Q45" s="52"/>
      <c r="R45" s="52"/>
      <c r="S45" s="52"/>
      <c r="T45" s="52"/>
      <c r="U45" s="52"/>
      <c r="V45" s="52"/>
      <c r="W45" s="52"/>
      <c r="X45" s="52"/>
      <c r="Y45" s="52"/>
      <c r="Z45" s="52"/>
    </row>
    <row r="46" spans="1:26" ht="30">
      <c r="A46" s="50" t="s">
        <v>47</v>
      </c>
      <c r="B46" s="39" t="s">
        <v>84</v>
      </c>
      <c r="C46" s="51">
        <v>43914</v>
      </c>
      <c r="D46" s="30" t="s">
        <v>19</v>
      </c>
      <c r="E46" s="30" t="s">
        <v>85</v>
      </c>
      <c r="F46" s="42" t="str">
        <f>HYPERLINK("https://s3.amazonaws.com/fn-document-service/file-by-sha384/5c77862a93ade5833b092c4f18cb08c64f6a4aed678d9326c435ee21931c297f7f90837c06e44fc08b9244b3105a8ad5#page=4","City Council Meeting Agenda")</f>
        <v>City Council Meeting Agenda</v>
      </c>
      <c r="G46" s="38" t="s">
        <v>17</v>
      </c>
      <c r="H46" s="52"/>
      <c r="I46" s="52"/>
      <c r="J46" s="52"/>
      <c r="K46" s="52"/>
      <c r="L46" s="52"/>
      <c r="M46" s="52"/>
      <c r="N46" s="52"/>
      <c r="O46" s="52"/>
      <c r="P46" s="52"/>
      <c r="Q46" s="52"/>
      <c r="R46" s="52"/>
      <c r="S46" s="52"/>
      <c r="T46" s="52"/>
      <c r="U46" s="52"/>
      <c r="V46" s="52"/>
      <c r="W46" s="52"/>
      <c r="X46" s="52"/>
      <c r="Y46" s="52"/>
      <c r="Z46" s="52"/>
    </row>
    <row r="47" spans="1:26" ht="60">
      <c r="A47" s="50" t="s">
        <v>47</v>
      </c>
      <c r="B47" s="39" t="s">
        <v>84</v>
      </c>
      <c r="C47" s="51">
        <v>44118</v>
      </c>
      <c r="D47" s="30" t="s">
        <v>13</v>
      </c>
      <c r="E47" s="30" t="s">
        <v>1429</v>
      </c>
      <c r="F47" s="43" t="str">
        <f>HYPERLINK("https://www.spinoc.org","Costa Mesa CDBG-CV COVID Rental Assistance Program")</f>
        <v>Costa Mesa CDBG-CV COVID Rental Assistance Program</v>
      </c>
      <c r="G47" s="38" t="s">
        <v>10</v>
      </c>
      <c r="H47" s="52"/>
      <c r="I47" s="52"/>
      <c r="J47" s="52"/>
      <c r="K47" s="52"/>
      <c r="L47" s="52"/>
      <c r="M47" s="52"/>
      <c r="N47" s="52"/>
      <c r="O47" s="52"/>
      <c r="P47" s="52"/>
      <c r="Q47" s="52"/>
      <c r="R47" s="52"/>
      <c r="S47" s="52"/>
      <c r="T47" s="52"/>
      <c r="U47" s="52"/>
      <c r="V47" s="52"/>
      <c r="W47" s="52"/>
      <c r="X47" s="52"/>
      <c r="Y47" s="52"/>
      <c r="Z47" s="52"/>
    </row>
    <row r="48" spans="1:26" ht="30">
      <c r="A48" s="50" t="s">
        <v>47</v>
      </c>
      <c r="B48" s="39" t="s">
        <v>86</v>
      </c>
      <c r="C48" s="51">
        <v>43966</v>
      </c>
      <c r="D48" s="30" t="s">
        <v>13</v>
      </c>
      <c r="E48" s="30" t="s">
        <v>1042</v>
      </c>
      <c r="F48" s="43" t="s">
        <v>1043</v>
      </c>
      <c r="G48" s="38" t="s">
        <v>10</v>
      </c>
      <c r="H48" s="52"/>
      <c r="I48" s="52"/>
      <c r="J48" s="52"/>
      <c r="K48" s="52"/>
      <c r="L48" s="52"/>
      <c r="M48" s="52"/>
      <c r="N48" s="52"/>
      <c r="O48" s="52"/>
      <c r="P48" s="52"/>
      <c r="Q48" s="52"/>
      <c r="R48" s="52"/>
      <c r="S48" s="52"/>
      <c r="T48" s="52"/>
      <c r="U48" s="52"/>
      <c r="V48" s="52"/>
      <c r="W48" s="52"/>
      <c r="X48" s="52"/>
      <c r="Y48" s="52"/>
      <c r="Z48" s="52"/>
    </row>
    <row r="49" spans="1:26" ht="45">
      <c r="A49" s="50" t="s">
        <v>47</v>
      </c>
      <c r="B49" s="39" t="s">
        <v>87</v>
      </c>
      <c r="C49" s="51">
        <v>43923</v>
      </c>
      <c r="D49" s="30" t="s">
        <v>49</v>
      </c>
      <c r="E49" s="30" t="s">
        <v>88</v>
      </c>
      <c r="F49" s="42" t="str">
        <f>HYPERLINK("https://s3.amazonaws.com/fn-document-service/file-by-sha384/3e965ac1c266d6d865e9e77317e517c3f33f06f5c2a6fdaaf577e8b2420dbb2eb016c0afe4e0630485c442604b7afd97#page=4","Special Meeting of the Homeless Coordinating and Financing Council")</f>
        <v>Special Meeting of the Homeless Coordinating and Financing Council</v>
      </c>
      <c r="G49" s="38" t="s">
        <v>10</v>
      </c>
      <c r="H49" s="52"/>
      <c r="I49" s="52"/>
      <c r="J49" s="52"/>
      <c r="K49" s="52"/>
      <c r="L49" s="52"/>
      <c r="M49" s="52"/>
      <c r="N49" s="52"/>
      <c r="O49" s="52"/>
      <c r="P49" s="52"/>
      <c r="Q49" s="52"/>
      <c r="R49" s="52"/>
      <c r="S49" s="52"/>
      <c r="T49" s="52"/>
      <c r="U49" s="52"/>
      <c r="V49" s="52"/>
      <c r="W49" s="52"/>
      <c r="X49" s="52"/>
      <c r="Y49" s="52"/>
      <c r="Z49" s="52"/>
    </row>
    <row r="50" spans="1:26" ht="30">
      <c r="A50" s="50" t="s">
        <v>47</v>
      </c>
      <c r="B50" s="39" t="s">
        <v>89</v>
      </c>
      <c r="C50" s="51">
        <v>43910</v>
      </c>
      <c r="D50" s="30" t="s">
        <v>19</v>
      </c>
      <c r="E50" s="30" t="s">
        <v>90</v>
      </c>
      <c r="F50" s="42" t="str">
        <f>HYPERLINK("https://www.sgvtribune.com/2020/03/20/el-monte-approves-60-day-eviction-moratorium-during-coronavirus-crisis/","El Monte approves 60-day eviction moratorium during coronavirus crisis")</f>
        <v>El Monte approves 60-day eviction moratorium during coronavirus crisis</v>
      </c>
      <c r="G50" s="38" t="s">
        <v>10</v>
      </c>
      <c r="H50" s="52"/>
      <c r="I50" s="52"/>
      <c r="J50" s="52"/>
      <c r="K50" s="52"/>
      <c r="L50" s="52"/>
      <c r="M50" s="52"/>
      <c r="N50" s="52"/>
      <c r="O50" s="52"/>
      <c r="P50" s="52"/>
      <c r="Q50" s="52"/>
      <c r="R50" s="52"/>
      <c r="S50" s="52"/>
      <c r="T50" s="52"/>
      <c r="U50" s="52"/>
      <c r="V50" s="52"/>
      <c r="W50" s="52"/>
      <c r="X50" s="52"/>
      <c r="Y50" s="52"/>
      <c r="Z50" s="52"/>
    </row>
    <row r="51" spans="1:26" ht="75">
      <c r="A51" s="50" t="s">
        <v>47</v>
      </c>
      <c r="B51" s="39" t="s">
        <v>1284</v>
      </c>
      <c r="C51" s="51"/>
      <c r="D51" s="30" t="s">
        <v>13</v>
      </c>
      <c r="E51" s="30" t="s">
        <v>1285</v>
      </c>
      <c r="F51" s="43" t="s">
        <v>1286</v>
      </c>
      <c r="G51" s="38" t="s">
        <v>10</v>
      </c>
      <c r="H51" s="52"/>
      <c r="I51" s="52"/>
      <c r="J51" s="52"/>
      <c r="K51" s="52"/>
      <c r="L51" s="52"/>
      <c r="M51" s="52"/>
      <c r="N51" s="52"/>
      <c r="O51" s="52"/>
      <c r="P51" s="52"/>
      <c r="Q51" s="52"/>
      <c r="R51" s="52"/>
      <c r="S51" s="52"/>
      <c r="T51" s="52"/>
      <c r="U51" s="52"/>
      <c r="V51" s="52"/>
      <c r="W51" s="52"/>
      <c r="X51" s="52"/>
      <c r="Y51" s="52"/>
      <c r="Z51" s="52"/>
    </row>
    <row r="52" spans="1:26">
      <c r="A52" s="50" t="s">
        <v>47</v>
      </c>
      <c r="B52" s="39" t="s">
        <v>91</v>
      </c>
      <c r="C52" s="51">
        <v>43957</v>
      </c>
      <c r="D52" s="30" t="s">
        <v>19</v>
      </c>
      <c r="E52" s="30" t="s">
        <v>92</v>
      </c>
      <c r="F52" s="43" t="s">
        <v>93</v>
      </c>
      <c r="G52" s="38" t="s">
        <v>17</v>
      </c>
      <c r="H52" s="52"/>
      <c r="I52" s="52"/>
      <c r="J52" s="52"/>
      <c r="K52" s="52"/>
      <c r="L52" s="52"/>
      <c r="M52" s="52"/>
      <c r="N52" s="52"/>
      <c r="O52" s="52"/>
      <c r="P52" s="52"/>
      <c r="Q52" s="52"/>
      <c r="R52" s="52"/>
      <c r="S52" s="52"/>
      <c r="T52" s="52"/>
      <c r="U52" s="52"/>
      <c r="V52" s="52"/>
      <c r="W52" s="52"/>
      <c r="X52" s="52"/>
      <c r="Y52" s="52"/>
      <c r="Z52" s="52"/>
    </row>
    <row r="53" spans="1:26" ht="45">
      <c r="A53" s="50" t="s">
        <v>47</v>
      </c>
      <c r="B53" s="39" t="s">
        <v>94</v>
      </c>
      <c r="C53" s="51">
        <v>43944</v>
      </c>
      <c r="D53" s="30" t="s">
        <v>40</v>
      </c>
      <c r="E53" s="30" t="s">
        <v>95</v>
      </c>
      <c r="F53" s="86" t="s">
        <v>93</v>
      </c>
      <c r="G53" s="38" t="s">
        <v>17</v>
      </c>
      <c r="H53" s="52"/>
      <c r="I53" s="52"/>
      <c r="J53" s="52"/>
      <c r="K53" s="52"/>
      <c r="L53" s="52"/>
      <c r="M53" s="52"/>
      <c r="N53" s="52"/>
      <c r="O53" s="52"/>
      <c r="P53" s="52"/>
      <c r="Q53" s="52"/>
      <c r="R53" s="52"/>
      <c r="S53" s="52"/>
      <c r="T53" s="52"/>
      <c r="U53" s="52"/>
      <c r="V53" s="52"/>
      <c r="W53" s="52"/>
      <c r="X53" s="52"/>
      <c r="Y53" s="52"/>
      <c r="Z53" s="52"/>
    </row>
    <row r="54" spans="1:26" ht="45">
      <c r="A54" s="50" t="s">
        <v>47</v>
      </c>
      <c r="B54" s="39" t="s">
        <v>94</v>
      </c>
      <c r="C54" s="51">
        <v>44036</v>
      </c>
      <c r="D54" s="30" t="s">
        <v>13</v>
      </c>
      <c r="E54" s="30" t="s">
        <v>1138</v>
      </c>
      <c r="F54" s="84" t="s">
        <v>1139</v>
      </c>
      <c r="G54" s="38" t="s">
        <v>10</v>
      </c>
      <c r="H54" s="52"/>
      <c r="I54" s="52"/>
      <c r="J54" s="52"/>
      <c r="K54" s="52"/>
      <c r="L54" s="52"/>
      <c r="M54" s="52"/>
      <c r="N54" s="52"/>
      <c r="O54" s="52"/>
      <c r="P54" s="52"/>
      <c r="Q54" s="52"/>
      <c r="R54" s="52"/>
      <c r="S54" s="52"/>
      <c r="T54" s="52"/>
      <c r="U54" s="52"/>
      <c r="V54" s="52"/>
      <c r="W54" s="52"/>
      <c r="X54" s="52"/>
      <c r="Y54" s="52"/>
      <c r="Z54" s="52"/>
    </row>
    <row r="55" spans="1:26" ht="45">
      <c r="A55" s="50" t="s">
        <v>47</v>
      </c>
      <c r="B55" s="39" t="s">
        <v>96</v>
      </c>
      <c r="C55" s="51">
        <v>43930</v>
      </c>
      <c r="D55" s="30" t="s">
        <v>49</v>
      </c>
      <c r="E55" s="30" t="s">
        <v>97</v>
      </c>
      <c r="F55" s="42" t="str">
        <f>HYPERLINK("https://s3.amazonaws.com/fn-document-service/file-by-sha384/62c62686beddaaec9eecd231c431562becebee9fdf6eef1de8f2e9e43c575c746d6d842b66227a08a46e9913114d4382#page=18","City Council Meeting Agenda")</f>
        <v>City Council Meeting Agenda</v>
      </c>
      <c r="G55" s="38" t="s">
        <v>10</v>
      </c>
      <c r="H55" s="52"/>
      <c r="I55" s="52"/>
      <c r="J55" s="52"/>
      <c r="K55" s="52"/>
      <c r="L55" s="52"/>
      <c r="M55" s="52"/>
      <c r="N55" s="52"/>
      <c r="O55" s="52"/>
      <c r="P55" s="52"/>
      <c r="Q55" s="52"/>
      <c r="R55" s="52"/>
      <c r="S55" s="52"/>
      <c r="T55" s="52"/>
      <c r="U55" s="52"/>
      <c r="V55" s="52"/>
      <c r="W55" s="52"/>
      <c r="X55" s="52"/>
      <c r="Y55" s="52"/>
      <c r="Z55" s="52"/>
    </row>
    <row r="56" spans="1:26" ht="60">
      <c r="A56" s="50" t="s">
        <v>47</v>
      </c>
      <c r="B56" s="39" t="s">
        <v>98</v>
      </c>
      <c r="C56" s="51">
        <v>43910</v>
      </c>
      <c r="D56" s="30" t="s">
        <v>19</v>
      </c>
      <c r="E56" s="30" t="s">
        <v>99</v>
      </c>
      <c r="F56" s="42" t="str">
        <f>HYPERLINK("https://kmph.com/news/local/evictions-price-hikes-now-illegal-in-fresno-for-30-days","Evictions, consumer price hikes now illegal in Fresno for 30-days")</f>
        <v>Evictions, consumer price hikes now illegal in Fresno for 30-days</v>
      </c>
      <c r="G56" s="38" t="s">
        <v>10</v>
      </c>
      <c r="H56" s="52"/>
      <c r="I56" s="52"/>
      <c r="J56" s="52"/>
      <c r="K56" s="52"/>
      <c r="L56" s="52"/>
      <c r="M56" s="52"/>
      <c r="N56" s="52"/>
      <c r="O56" s="52"/>
      <c r="P56" s="52"/>
      <c r="Q56" s="52"/>
      <c r="R56" s="52"/>
      <c r="S56" s="52"/>
      <c r="T56" s="52"/>
      <c r="U56" s="52"/>
      <c r="V56" s="52"/>
      <c r="W56" s="52"/>
      <c r="X56" s="52"/>
      <c r="Y56" s="52"/>
      <c r="Z56" s="52"/>
    </row>
    <row r="57" spans="1:26" ht="29.25" customHeight="1">
      <c r="A57" s="50" t="s">
        <v>47</v>
      </c>
      <c r="B57" s="39" t="s">
        <v>100</v>
      </c>
      <c r="C57" s="51">
        <v>43927</v>
      </c>
      <c r="D57" s="30" t="s">
        <v>19</v>
      </c>
      <c r="E57" s="30" t="s">
        <v>101</v>
      </c>
      <c r="F57" s="42" t="str">
        <f>HYPERLINK("https://s3.amazonaws.com/fn-document-service/file-by-sha384/f652c78f28e75105c50636844a8b7ccbf1a578dde70d65ff118d49293a75c5eee9844d2ae4d1d9837e641438859d1366#page=5","City Council Meeting Agenda")</f>
        <v>City Council Meeting Agenda</v>
      </c>
      <c r="G57" s="38" t="s">
        <v>10</v>
      </c>
      <c r="H57" s="52"/>
      <c r="I57" s="52"/>
      <c r="J57" s="52"/>
      <c r="K57" s="52"/>
      <c r="L57" s="52"/>
      <c r="M57" s="52"/>
      <c r="N57" s="52"/>
      <c r="O57" s="52"/>
      <c r="P57" s="52"/>
      <c r="Q57" s="52"/>
      <c r="R57" s="52"/>
      <c r="S57" s="52"/>
      <c r="T57" s="52"/>
      <c r="U57" s="52"/>
      <c r="V57" s="52"/>
      <c r="W57" s="52"/>
      <c r="X57" s="52"/>
      <c r="Y57" s="52"/>
      <c r="Z57" s="52"/>
    </row>
    <row r="58" spans="1:26" ht="75">
      <c r="A58" s="50" t="s">
        <v>47</v>
      </c>
      <c r="B58" s="39" t="s">
        <v>29</v>
      </c>
      <c r="C58" s="51">
        <v>44013</v>
      </c>
      <c r="D58" s="30" t="s">
        <v>13</v>
      </c>
      <c r="E58" s="30" t="s">
        <v>1287</v>
      </c>
      <c r="F58" s="43" t="s">
        <v>1144</v>
      </c>
      <c r="G58" s="38" t="s">
        <v>10</v>
      </c>
      <c r="H58" s="52"/>
      <c r="I58" s="52"/>
      <c r="J58" s="52"/>
      <c r="K58" s="52"/>
      <c r="L58" s="52"/>
      <c r="M58" s="52"/>
      <c r="N58" s="52"/>
      <c r="O58" s="52"/>
      <c r="P58" s="52"/>
      <c r="Q58" s="52"/>
      <c r="R58" s="52"/>
      <c r="S58" s="52"/>
      <c r="T58" s="52"/>
      <c r="U58" s="52"/>
      <c r="V58" s="52"/>
      <c r="W58" s="52"/>
      <c r="X58" s="52"/>
      <c r="Y58" s="52"/>
      <c r="Z58" s="52"/>
    </row>
    <row r="59" spans="1:26" ht="44.25" customHeight="1">
      <c r="A59" s="50" t="s">
        <v>47</v>
      </c>
      <c r="B59" s="39" t="s">
        <v>102</v>
      </c>
      <c r="C59" s="51">
        <v>43928</v>
      </c>
      <c r="D59" s="30" t="s">
        <v>19</v>
      </c>
      <c r="E59" s="30" t="s">
        <v>103</v>
      </c>
      <c r="F59" s="42" t="str">
        <f>HYPERLINK("https://s3.amazonaws.com/fn-document-service/file-by-sha384/bb86667d790e6da591ca7f8b740813a41bf9c149bd56803eb627643d31f6560ce36e4594811a752e488c0163f3759b84#page=3","City Council Meeting Agenda")</f>
        <v>City Council Meeting Agenda</v>
      </c>
      <c r="G59" s="38" t="s">
        <v>10</v>
      </c>
      <c r="H59" s="52"/>
      <c r="I59" s="52"/>
      <c r="J59" s="52"/>
      <c r="K59" s="52"/>
      <c r="L59" s="52"/>
      <c r="M59" s="52"/>
      <c r="N59" s="52"/>
      <c r="O59" s="52"/>
      <c r="P59" s="52"/>
      <c r="Q59" s="52"/>
      <c r="R59" s="52"/>
      <c r="S59" s="52"/>
      <c r="T59" s="52"/>
      <c r="U59" s="52"/>
      <c r="V59" s="52"/>
      <c r="W59" s="52"/>
      <c r="X59" s="52"/>
      <c r="Y59" s="52"/>
      <c r="Z59" s="52"/>
    </row>
    <row r="60" spans="1:26" ht="30">
      <c r="A60" s="50" t="s">
        <v>47</v>
      </c>
      <c r="B60" s="39" t="s">
        <v>104</v>
      </c>
      <c r="C60" s="51">
        <v>43977</v>
      </c>
      <c r="D60" s="30" t="s">
        <v>19</v>
      </c>
      <c r="E60" s="30" t="s">
        <v>105</v>
      </c>
      <c r="F60" s="43" t="str">
        <f>HYPERLINK("https://s3.amazonaws.com/fn-document-service/file-by-sha384/7f89d095287ed3e117a0600a6b152d24f6229cbf35f5ee8535e5379cdc879ce71ec418ac2bbeb756b7c10292f8ca471b#page=11","City Council Meeting Agenda")</f>
        <v>City Council Meeting Agenda</v>
      </c>
      <c r="G60" s="38" t="s">
        <v>10</v>
      </c>
      <c r="H60" s="52"/>
      <c r="I60" s="52"/>
      <c r="J60" s="52"/>
      <c r="K60" s="52"/>
      <c r="L60" s="52"/>
      <c r="M60" s="52"/>
      <c r="N60" s="52"/>
      <c r="O60" s="52"/>
      <c r="P60" s="52"/>
      <c r="Q60" s="52"/>
      <c r="R60" s="52"/>
      <c r="S60" s="52"/>
      <c r="T60" s="52"/>
      <c r="U60" s="52"/>
      <c r="V60" s="52"/>
      <c r="W60" s="52"/>
      <c r="X60" s="52"/>
      <c r="Y60" s="52"/>
      <c r="Z60" s="52"/>
    </row>
    <row r="61" spans="1:26" ht="45">
      <c r="A61" s="50" t="s">
        <v>47</v>
      </c>
      <c r="B61" s="39" t="s">
        <v>106</v>
      </c>
      <c r="C61" s="51">
        <v>43956</v>
      </c>
      <c r="D61" s="30" t="s">
        <v>19</v>
      </c>
      <c r="E61" s="30" t="s">
        <v>107</v>
      </c>
      <c r="F61" s="43" t="str">
        <f>HYPERLINK("https://s3.amazonaws.com/fn-document-service/file-by-sha384/ee73573332d72b9514f915222f74e3682ecf9f1d8e8db2c2ec33e7c6b7adf5097e5a8c769dd4c2de0ff9b8a626ed9f40#page=10","Board of Supervisors Meeting Agenda")</f>
        <v>Board of Supervisors Meeting Agenda</v>
      </c>
      <c r="G61" s="38" t="s">
        <v>17</v>
      </c>
      <c r="H61" s="52"/>
      <c r="I61" s="52"/>
      <c r="J61" s="52"/>
      <c r="K61" s="52"/>
      <c r="L61" s="52"/>
      <c r="M61" s="52"/>
      <c r="N61" s="52"/>
      <c r="O61" s="52"/>
      <c r="P61" s="52"/>
      <c r="Q61" s="52"/>
      <c r="R61" s="52"/>
      <c r="S61" s="52"/>
      <c r="T61" s="52"/>
      <c r="U61" s="52"/>
      <c r="V61" s="52"/>
      <c r="W61" s="52"/>
      <c r="X61" s="52"/>
      <c r="Y61" s="52"/>
      <c r="Z61" s="52"/>
    </row>
    <row r="62" spans="1:26" ht="30">
      <c r="A62" s="50" t="s">
        <v>47</v>
      </c>
      <c r="B62" s="39" t="s">
        <v>108</v>
      </c>
      <c r="C62" s="51">
        <v>43921</v>
      </c>
      <c r="D62" s="30" t="s">
        <v>19</v>
      </c>
      <c r="E62" s="30" t="s">
        <v>109</v>
      </c>
      <c r="F62" s="42" t="str">
        <f>HYPERLINK("https://s3.amazonaws.com/fn-document-service/file-by-sha384/f2d860c000b979bccd6036800aa7a9e6fd46472c154f4b65ad3456b5ed27a40b6d9fc439e8535c11338f93796e04b964#page=3","City Council/Public Financing Agenda")</f>
        <v>City Council/Public Financing Agenda</v>
      </c>
      <c r="G62" s="39" t="s">
        <v>10</v>
      </c>
      <c r="H62" s="52"/>
      <c r="I62" s="52"/>
      <c r="J62" s="52"/>
      <c r="K62" s="52"/>
      <c r="L62" s="52"/>
      <c r="M62" s="52"/>
      <c r="N62" s="52"/>
      <c r="O62" s="52"/>
      <c r="P62" s="52"/>
      <c r="Q62" s="52"/>
      <c r="R62" s="52"/>
      <c r="S62" s="52"/>
      <c r="T62" s="52"/>
      <c r="U62" s="52"/>
      <c r="V62" s="52"/>
      <c r="W62" s="52"/>
      <c r="X62" s="52"/>
      <c r="Y62" s="52"/>
      <c r="Z62" s="52"/>
    </row>
    <row r="63" spans="1:26" ht="30">
      <c r="A63" s="50" t="s">
        <v>47</v>
      </c>
      <c r="B63" s="39" t="s">
        <v>110</v>
      </c>
      <c r="C63" s="51">
        <v>43928</v>
      </c>
      <c r="D63" s="30" t="s">
        <v>19</v>
      </c>
      <c r="E63" s="30" t="s">
        <v>111</v>
      </c>
      <c r="F63" s="42" t="str">
        <f>HYPERLINK("https://s3.amazonaws.com/fn-document-service/file-by-sha384/e1c56e92a74587e5d442aa02a0705f105d604c07a5c6d8e49c6a54687eab4263058fe74bb1a1bbdf9f91e8ff8cd9a831#page=5","City Council Meeting Agenda")</f>
        <v>City Council Meeting Agenda</v>
      </c>
      <c r="G63" s="39" t="s">
        <v>10</v>
      </c>
      <c r="H63" s="52"/>
      <c r="I63" s="52"/>
      <c r="J63" s="52"/>
      <c r="K63" s="52"/>
      <c r="L63" s="52"/>
      <c r="M63" s="52"/>
      <c r="N63" s="52"/>
      <c r="O63" s="52"/>
      <c r="P63" s="52"/>
      <c r="Q63" s="52"/>
      <c r="R63" s="52"/>
      <c r="S63" s="52"/>
      <c r="T63" s="52"/>
      <c r="U63" s="52"/>
      <c r="V63" s="52"/>
      <c r="W63" s="52"/>
      <c r="X63" s="52"/>
      <c r="Y63" s="52"/>
      <c r="Z63" s="52"/>
    </row>
    <row r="64" spans="1:26" ht="45">
      <c r="A64" s="50" t="s">
        <v>47</v>
      </c>
      <c r="B64" s="39" t="s">
        <v>112</v>
      </c>
      <c r="C64" s="51">
        <v>43970</v>
      </c>
      <c r="D64" s="30" t="s">
        <v>19</v>
      </c>
      <c r="E64" s="30" t="s">
        <v>113</v>
      </c>
      <c r="F64" s="43" t="str">
        <f>HYPERLINK("https://s3.amazonaws.com/fn-document-service/file-by-sha384/0508d28d569c525c914fbe3348eff38b24861d0e8bea8ca021dc4873e90cad2db5e93c0eec4b2ad22a9a1fbf23940317#page=","Board of Supervisors Meeting Agenda")</f>
        <v>Board of Supervisors Meeting Agenda</v>
      </c>
      <c r="G64" s="39" t="s">
        <v>10</v>
      </c>
      <c r="H64" s="52"/>
      <c r="I64" s="52"/>
      <c r="J64" s="52"/>
      <c r="K64" s="52"/>
      <c r="L64" s="52"/>
      <c r="M64" s="52"/>
      <c r="N64" s="52"/>
      <c r="O64" s="52"/>
      <c r="P64" s="52"/>
      <c r="Q64" s="52"/>
      <c r="R64" s="52"/>
      <c r="S64" s="52"/>
      <c r="T64" s="52"/>
      <c r="U64" s="52"/>
      <c r="V64" s="52"/>
      <c r="W64" s="52"/>
      <c r="X64" s="52"/>
      <c r="Y64" s="52"/>
      <c r="Z64" s="52"/>
    </row>
    <row r="65" spans="1:26" ht="33" customHeight="1">
      <c r="A65" s="50" t="s">
        <v>47</v>
      </c>
      <c r="B65" s="39" t="s">
        <v>114</v>
      </c>
      <c r="C65" s="51">
        <v>43914</v>
      </c>
      <c r="D65" s="30" t="s">
        <v>19</v>
      </c>
      <c r="E65" s="30" t="s">
        <v>1430</v>
      </c>
      <c r="F65" s="43" t="str">
        <f>HYPERLINK("https://s3.amazonaws.com/fn-document-service/file-by-sha384/349ca7296f39cc4043ed2f855502ff58446901e75c57bf02a337062d837362dff11f314bc3f264ef660782648be9f1a9#page=2","City Council Meeting Agenda")</f>
        <v>City Council Meeting Agenda</v>
      </c>
      <c r="G65" s="39" t="s">
        <v>10</v>
      </c>
      <c r="H65" s="52"/>
      <c r="I65" s="52"/>
      <c r="J65" s="52"/>
      <c r="K65" s="52"/>
      <c r="L65" s="52"/>
      <c r="M65" s="52"/>
      <c r="N65" s="52"/>
      <c r="O65" s="52"/>
      <c r="P65" s="52"/>
      <c r="Q65" s="52"/>
      <c r="R65" s="52"/>
      <c r="S65" s="52"/>
      <c r="T65" s="52"/>
      <c r="U65" s="52"/>
      <c r="V65" s="52"/>
      <c r="W65" s="52"/>
      <c r="X65" s="52"/>
      <c r="Y65" s="52"/>
      <c r="Z65" s="52"/>
    </row>
    <row r="66" spans="1:26">
      <c r="A66" s="50" t="s">
        <v>47</v>
      </c>
      <c r="B66" s="39" t="s">
        <v>115</v>
      </c>
      <c r="C66" s="51">
        <v>43914</v>
      </c>
      <c r="D66" s="30" t="s">
        <v>19</v>
      </c>
      <c r="E66" s="30" t="s">
        <v>116</v>
      </c>
      <c r="F66" s="42" t="str">
        <f>HYPERLINK("https://s3.amazonaws.com/fn-document-service/file-by-sha384/0b3dde8e569aecafa64726fd350cf3b13bcf4c3f8fd4df0f9d69ea082a2957acbcf2fd26f9854c1d24a3f61862299657#page=","City Council Meeting Agenda")</f>
        <v>City Council Meeting Agenda</v>
      </c>
      <c r="G66" s="39" t="s">
        <v>17</v>
      </c>
      <c r="H66" s="52"/>
      <c r="I66" s="52"/>
      <c r="J66" s="52"/>
      <c r="K66" s="52"/>
      <c r="L66" s="52"/>
      <c r="M66" s="52"/>
      <c r="N66" s="52"/>
      <c r="O66" s="52"/>
      <c r="P66" s="52"/>
      <c r="Q66" s="52"/>
      <c r="R66" s="52"/>
      <c r="S66" s="52"/>
      <c r="T66" s="52"/>
      <c r="U66" s="52"/>
      <c r="V66" s="52"/>
      <c r="W66" s="52"/>
      <c r="X66" s="52"/>
      <c r="Y66" s="52"/>
      <c r="Z66" s="52"/>
    </row>
    <row r="67" spans="1:26" ht="60">
      <c r="A67" s="50" t="s">
        <v>47</v>
      </c>
      <c r="B67" s="39" t="s">
        <v>115</v>
      </c>
      <c r="C67" s="51">
        <v>44090</v>
      </c>
      <c r="D67" s="30" t="s">
        <v>13</v>
      </c>
      <c r="E67" s="30" t="s">
        <v>1288</v>
      </c>
      <c r="F67" s="43" t="s">
        <v>1289</v>
      </c>
      <c r="G67" s="39" t="s">
        <v>10</v>
      </c>
      <c r="H67" s="52"/>
      <c r="I67" s="52"/>
      <c r="J67" s="52"/>
      <c r="K67" s="52"/>
      <c r="L67" s="52"/>
      <c r="M67" s="52"/>
      <c r="N67" s="52"/>
      <c r="O67" s="52"/>
      <c r="P67" s="52"/>
      <c r="Q67" s="52"/>
      <c r="R67" s="52"/>
      <c r="S67" s="52"/>
      <c r="T67" s="52"/>
      <c r="U67" s="52"/>
      <c r="V67" s="52"/>
      <c r="W67" s="52"/>
      <c r="X67" s="52"/>
      <c r="Y67" s="52"/>
      <c r="Z67" s="52"/>
    </row>
    <row r="68" spans="1:26" ht="30">
      <c r="A68" s="50" t="s">
        <v>47</v>
      </c>
      <c r="B68" s="39" t="s">
        <v>117</v>
      </c>
      <c r="C68" s="51">
        <v>43923</v>
      </c>
      <c r="D68" s="30" t="s">
        <v>19</v>
      </c>
      <c r="E68" s="30" t="s">
        <v>118</v>
      </c>
      <c r="F68" s="42" t="str">
        <f>HYPERLINK("https://s3.amazonaws.com/fn-document-service/file-by-sha384/818c6e01a3f20e6a99dc953ddc6ae4ccd4fc429a6786d49c7cabfabba97ce2eed88782fc533cb25d68b19708583b4c2d#page=16","City Council Meeting Agenda")</f>
        <v>City Council Meeting Agenda</v>
      </c>
      <c r="G68" s="39" t="s">
        <v>17</v>
      </c>
      <c r="H68" s="52"/>
      <c r="I68" s="52"/>
      <c r="J68" s="52"/>
      <c r="K68" s="52"/>
      <c r="L68" s="52"/>
      <c r="M68" s="52"/>
      <c r="N68" s="52"/>
      <c r="O68" s="52"/>
      <c r="P68" s="52"/>
      <c r="Q68" s="52"/>
      <c r="R68" s="52"/>
      <c r="S68" s="52"/>
      <c r="T68" s="52"/>
      <c r="U68" s="52"/>
      <c r="V68" s="52"/>
      <c r="W68" s="52"/>
      <c r="X68" s="52"/>
      <c r="Y68" s="52"/>
      <c r="Z68" s="52"/>
    </row>
    <row r="69" spans="1:26" ht="30">
      <c r="A69" s="50" t="s">
        <v>47</v>
      </c>
      <c r="B69" s="39" t="s">
        <v>119</v>
      </c>
      <c r="C69" s="51">
        <v>43914</v>
      </c>
      <c r="D69" s="30" t="s">
        <v>19</v>
      </c>
      <c r="E69" s="30" t="s">
        <v>120</v>
      </c>
      <c r="F69" s="42" t="str">
        <f>HYPERLINK("https://s3.amazonaws.com/fn-document-service/file-by-sha384/43777aadcf64ba68860c534b71469510e67df54891f87dd2642ae709f8d83d391234e4ad328069e697457742de936452#page=6","County Board of Supervisors Meeting")</f>
        <v>County Board of Supervisors Meeting</v>
      </c>
      <c r="G69" s="39" t="s">
        <v>17</v>
      </c>
      <c r="H69" s="52"/>
      <c r="I69" s="52"/>
      <c r="J69" s="52"/>
      <c r="K69" s="52"/>
      <c r="L69" s="52"/>
      <c r="M69" s="52"/>
      <c r="N69" s="52"/>
      <c r="O69" s="52"/>
      <c r="P69" s="52"/>
      <c r="Q69" s="52"/>
      <c r="R69" s="52"/>
      <c r="S69" s="52"/>
      <c r="T69" s="52"/>
      <c r="U69" s="52"/>
      <c r="V69" s="52"/>
      <c r="W69" s="52"/>
      <c r="X69" s="52"/>
      <c r="Y69" s="52"/>
      <c r="Z69" s="52"/>
    </row>
    <row r="70" spans="1:26" ht="45">
      <c r="A70" s="50" t="s">
        <v>47</v>
      </c>
      <c r="B70" s="39" t="s">
        <v>119</v>
      </c>
      <c r="C70" s="51">
        <v>43928</v>
      </c>
      <c r="D70" s="30" t="s">
        <v>49</v>
      </c>
      <c r="E70" s="30" t="s">
        <v>121</v>
      </c>
      <c r="F70" s="42" t="str">
        <f>HYPERLINK("https://s3.amazonaws.com/fn-document-service/file-by-sha384/d4bcde0fc2f9777f9ade826651a91ed1412463ef719d09d8346ba7ee952214595c908fd8da569fc7730cbe9cc1b52fa8#page=3","County Board of Supervisors Meeting")</f>
        <v>County Board of Supervisors Meeting</v>
      </c>
      <c r="G70" s="39" t="s">
        <v>10</v>
      </c>
      <c r="H70" s="52"/>
      <c r="I70" s="52"/>
      <c r="J70" s="52"/>
      <c r="K70" s="52"/>
      <c r="L70" s="52"/>
      <c r="M70" s="52"/>
      <c r="N70" s="52"/>
      <c r="O70" s="52"/>
      <c r="P70" s="52"/>
      <c r="Q70" s="52"/>
      <c r="R70" s="52"/>
      <c r="S70" s="52"/>
      <c r="T70" s="52"/>
      <c r="U70" s="52"/>
      <c r="V70" s="52"/>
      <c r="W70" s="52"/>
      <c r="X70" s="52"/>
      <c r="Y70" s="52"/>
      <c r="Z70" s="52"/>
    </row>
    <row r="71" spans="1:26" ht="30">
      <c r="A71" s="50" t="s">
        <v>47</v>
      </c>
      <c r="B71" s="39" t="s">
        <v>122</v>
      </c>
      <c r="C71" s="51">
        <v>43914</v>
      </c>
      <c r="D71" s="30" t="s">
        <v>19</v>
      </c>
      <c r="E71" s="30" t="s">
        <v>123</v>
      </c>
      <c r="F71" s="42" t="str">
        <f>HYPERLINK("https://s3.amazonaws.com/fn-document-service/file-by-sha384/7f987c483bed2df0633039ef7c679e0b2479c193cd8f2ba7bd4497b2c89a4452a07c79546b9229b5291080254e6cd311#page=53","City Council Meeting Agenda")</f>
        <v>City Council Meeting Agenda</v>
      </c>
      <c r="G71" s="39" t="s">
        <v>17</v>
      </c>
      <c r="H71" s="52"/>
      <c r="I71" s="52"/>
      <c r="J71" s="52"/>
      <c r="K71" s="52"/>
      <c r="L71" s="52"/>
      <c r="M71" s="52"/>
      <c r="N71" s="52"/>
      <c r="O71" s="52"/>
      <c r="P71" s="52"/>
      <c r="Q71" s="52"/>
      <c r="R71" s="52"/>
      <c r="S71" s="52"/>
      <c r="T71" s="52"/>
      <c r="U71" s="52"/>
      <c r="V71" s="52"/>
      <c r="W71" s="52"/>
      <c r="X71" s="52"/>
      <c r="Y71" s="52"/>
      <c r="Z71" s="52"/>
    </row>
    <row r="72" spans="1:26" ht="104.25" customHeight="1">
      <c r="A72" s="50" t="s">
        <v>47</v>
      </c>
      <c r="B72" s="39" t="s">
        <v>124</v>
      </c>
      <c r="C72" s="51">
        <v>43970</v>
      </c>
      <c r="D72" s="51" t="s">
        <v>19</v>
      </c>
      <c r="E72" s="30" t="s">
        <v>125</v>
      </c>
      <c r="F72" s="43" t="str">
        <f>HYPERLINK("https://s3.amazonaws.com/fn-document-service/file-by-sha384/5c61b460ca32e2a1c7ae505c174e1c7e1099ddb1d07d2ebb8ab2f420f9a4bb1e264ec1c0507448acdd9d1ea175003d20#page=6","City Council Meeting Agenda")</f>
        <v>City Council Meeting Agenda</v>
      </c>
      <c r="G72" s="39" t="s">
        <v>10</v>
      </c>
      <c r="H72" s="52"/>
      <c r="I72" s="52"/>
      <c r="J72" s="52"/>
      <c r="K72" s="52"/>
      <c r="L72" s="52"/>
      <c r="M72" s="52"/>
      <c r="N72" s="52"/>
      <c r="O72" s="52"/>
      <c r="P72" s="52"/>
      <c r="Q72" s="52"/>
      <c r="R72" s="52"/>
      <c r="S72" s="52"/>
      <c r="T72" s="52"/>
      <c r="U72" s="52"/>
      <c r="V72" s="52"/>
      <c r="W72" s="52"/>
      <c r="X72" s="52"/>
      <c r="Y72" s="52"/>
      <c r="Z72" s="52"/>
    </row>
    <row r="73" spans="1:26" ht="60">
      <c r="A73" s="50" t="s">
        <v>47</v>
      </c>
      <c r="B73" s="39" t="s">
        <v>124</v>
      </c>
      <c r="C73" s="51">
        <v>43992</v>
      </c>
      <c r="D73" s="51" t="s">
        <v>13</v>
      </c>
      <c r="E73" s="30" t="s">
        <v>1040</v>
      </c>
      <c r="F73" s="43" t="s">
        <v>1041</v>
      </c>
      <c r="G73" s="39" t="s">
        <v>10</v>
      </c>
      <c r="H73" s="52"/>
      <c r="I73" s="52"/>
      <c r="J73" s="52"/>
      <c r="K73" s="52"/>
      <c r="L73" s="52"/>
      <c r="M73" s="52"/>
      <c r="N73" s="52"/>
      <c r="O73" s="52"/>
      <c r="P73" s="52"/>
      <c r="Q73" s="52"/>
      <c r="R73" s="52"/>
      <c r="S73" s="52"/>
      <c r="T73" s="52"/>
      <c r="U73" s="52"/>
      <c r="V73" s="52"/>
      <c r="W73" s="52"/>
      <c r="X73" s="52"/>
      <c r="Y73" s="52"/>
      <c r="Z73" s="52"/>
    </row>
    <row r="74" spans="1:26" ht="90">
      <c r="A74" s="50" t="s">
        <v>47</v>
      </c>
      <c r="B74" s="39" t="s">
        <v>126</v>
      </c>
      <c r="C74" s="51">
        <v>43905</v>
      </c>
      <c r="D74" s="51" t="s">
        <v>19</v>
      </c>
      <c r="E74" s="30" t="s">
        <v>127</v>
      </c>
      <c r="F74" s="42" t="s">
        <v>128</v>
      </c>
      <c r="G74" s="38" t="s">
        <v>10</v>
      </c>
      <c r="H74" s="52"/>
      <c r="I74" s="52"/>
      <c r="J74" s="52"/>
      <c r="K74" s="52"/>
      <c r="L74" s="52"/>
      <c r="M74" s="52"/>
      <c r="N74" s="52"/>
      <c r="O74" s="52"/>
      <c r="P74" s="52"/>
      <c r="Q74" s="52"/>
      <c r="R74" s="52"/>
      <c r="S74" s="52"/>
      <c r="T74" s="52"/>
      <c r="U74" s="52"/>
      <c r="V74" s="52"/>
      <c r="W74" s="52"/>
      <c r="X74" s="52"/>
      <c r="Y74" s="52"/>
      <c r="Z74" s="52"/>
    </row>
    <row r="75" spans="1:26" ht="45">
      <c r="A75" s="50" t="s">
        <v>47</v>
      </c>
      <c r="B75" s="39" t="s">
        <v>126</v>
      </c>
      <c r="C75" s="51">
        <v>43957</v>
      </c>
      <c r="D75" s="51" t="s">
        <v>40</v>
      </c>
      <c r="E75" s="30" t="s">
        <v>129</v>
      </c>
      <c r="F75" s="43" t="s">
        <v>68</v>
      </c>
      <c r="G75" s="38" t="s">
        <v>17</v>
      </c>
      <c r="H75" s="52"/>
      <c r="I75" s="52"/>
      <c r="J75" s="52"/>
      <c r="K75" s="52"/>
      <c r="L75" s="52"/>
      <c r="M75" s="52"/>
      <c r="N75" s="52"/>
      <c r="O75" s="52"/>
      <c r="P75" s="52"/>
      <c r="Q75" s="52"/>
      <c r="R75" s="52"/>
      <c r="S75" s="52"/>
      <c r="T75" s="52"/>
      <c r="U75" s="52"/>
      <c r="V75" s="52"/>
      <c r="W75" s="52"/>
      <c r="X75" s="52"/>
      <c r="Y75" s="52"/>
      <c r="Z75" s="52"/>
    </row>
    <row r="76" spans="1:26" ht="45">
      <c r="A76" s="50" t="s">
        <v>47</v>
      </c>
      <c r="B76" s="39" t="s">
        <v>126</v>
      </c>
      <c r="C76" s="51">
        <v>44005</v>
      </c>
      <c r="D76" s="30" t="s">
        <v>13</v>
      </c>
      <c r="E76" s="30" t="s">
        <v>1068</v>
      </c>
      <c r="F76" s="43"/>
      <c r="G76" s="38"/>
      <c r="H76" s="52"/>
      <c r="I76" s="52"/>
      <c r="J76" s="52"/>
      <c r="K76" s="52"/>
      <c r="L76" s="52"/>
      <c r="M76" s="52"/>
      <c r="N76" s="52"/>
      <c r="O76" s="52"/>
      <c r="P76" s="52"/>
      <c r="Q76" s="52"/>
      <c r="R76" s="52"/>
      <c r="S76" s="52"/>
      <c r="T76" s="52"/>
      <c r="U76" s="52"/>
      <c r="V76" s="52"/>
      <c r="W76" s="52"/>
      <c r="X76" s="52"/>
      <c r="Y76" s="52"/>
      <c r="Z76" s="52"/>
    </row>
    <row r="77" spans="1:26" ht="105">
      <c r="A77" s="50" t="s">
        <v>47</v>
      </c>
      <c r="B77" s="39" t="s">
        <v>130</v>
      </c>
      <c r="C77" s="51">
        <v>43959</v>
      </c>
      <c r="D77" s="30" t="s">
        <v>49</v>
      </c>
      <c r="E77" s="30" t="s">
        <v>131</v>
      </c>
      <c r="F77" s="43" t="s">
        <v>132</v>
      </c>
      <c r="G77" s="38" t="s">
        <v>10</v>
      </c>
      <c r="H77" s="52"/>
      <c r="I77" s="52"/>
      <c r="J77" s="52"/>
      <c r="K77" s="52"/>
      <c r="L77" s="52"/>
      <c r="M77" s="52"/>
      <c r="N77" s="52"/>
      <c r="O77" s="52"/>
      <c r="P77" s="52"/>
      <c r="Q77" s="52"/>
      <c r="R77" s="52"/>
      <c r="S77" s="52"/>
      <c r="T77" s="52"/>
      <c r="U77" s="52"/>
      <c r="V77" s="52"/>
      <c r="W77" s="52"/>
      <c r="X77" s="52"/>
      <c r="Y77" s="52"/>
      <c r="Z77" s="52"/>
    </row>
    <row r="78" spans="1:26" ht="65.25" customHeight="1">
      <c r="A78" s="50" t="s">
        <v>47</v>
      </c>
      <c r="B78" s="39" t="s">
        <v>133</v>
      </c>
      <c r="C78" s="51">
        <v>43935</v>
      </c>
      <c r="D78" s="30" t="s">
        <v>13</v>
      </c>
      <c r="E78" s="30" t="s">
        <v>134</v>
      </c>
      <c r="F78" s="43" t="str">
        <f>HYPERLINK("https://www.smdp.com/la-county-to-create-emergency-rent-assistance-program-amid-covid-19-crisis/189470","LA County to Create Emergency Rent Assistance Program Amid COVID-19 Crisis")</f>
        <v>LA County to Create Emergency Rent Assistance Program Amid COVID-19 Crisis</v>
      </c>
      <c r="G78" s="38" t="s">
        <v>10</v>
      </c>
      <c r="H78" s="52"/>
      <c r="I78" s="52"/>
      <c r="J78" s="52"/>
      <c r="K78" s="52"/>
      <c r="L78" s="52"/>
      <c r="M78" s="52"/>
      <c r="N78" s="52"/>
      <c r="O78" s="52"/>
      <c r="P78" s="52"/>
      <c r="Q78" s="52"/>
      <c r="R78" s="52"/>
      <c r="S78" s="52"/>
      <c r="T78" s="52"/>
      <c r="U78" s="52"/>
      <c r="V78" s="52"/>
      <c r="W78" s="52"/>
      <c r="X78" s="52"/>
      <c r="Y78" s="52"/>
      <c r="Z78" s="52"/>
    </row>
    <row r="79" spans="1:26" ht="60">
      <c r="A79" s="50" t="s">
        <v>47</v>
      </c>
      <c r="B79" s="39" t="s">
        <v>133</v>
      </c>
      <c r="C79" s="51">
        <v>43914</v>
      </c>
      <c r="D79" s="30" t="s">
        <v>8</v>
      </c>
      <c r="E79" s="30" t="s">
        <v>135</v>
      </c>
      <c r="F79" s="42" t="str">
        <f>HYPERLINK("https://www.cbsnews.com/news/inmates-released-los-angeles-county-coronavirus-response-2020-03-24/","1,700 inmates released from Los Angeles County in response to coronavirus outbreak")</f>
        <v>1,700 inmates released from Los Angeles County in response to coronavirus outbreak</v>
      </c>
      <c r="G79" s="38" t="s">
        <v>10</v>
      </c>
      <c r="H79" s="52"/>
      <c r="I79" s="52"/>
      <c r="J79" s="52"/>
      <c r="K79" s="52"/>
      <c r="L79" s="52"/>
      <c r="M79" s="52"/>
      <c r="N79" s="52"/>
      <c r="O79" s="52"/>
      <c r="P79" s="52"/>
      <c r="Q79" s="52"/>
      <c r="R79" s="52"/>
      <c r="S79" s="52"/>
      <c r="T79" s="52"/>
      <c r="U79" s="52"/>
      <c r="V79" s="52"/>
      <c r="W79" s="52"/>
      <c r="X79" s="52"/>
      <c r="Y79" s="52"/>
      <c r="Z79" s="52"/>
    </row>
    <row r="80" spans="1:26" ht="120">
      <c r="A80" s="50" t="s">
        <v>47</v>
      </c>
      <c r="B80" s="39" t="s">
        <v>136</v>
      </c>
      <c r="C80" s="51">
        <v>43942</v>
      </c>
      <c r="D80" s="30" t="s">
        <v>13</v>
      </c>
      <c r="E80" s="30" t="s">
        <v>1089</v>
      </c>
      <c r="F80" s="43" t="s">
        <v>137</v>
      </c>
      <c r="G80" s="38" t="s">
        <v>10</v>
      </c>
      <c r="H80" s="52"/>
      <c r="I80" s="52"/>
      <c r="J80" s="52"/>
      <c r="K80" s="52"/>
      <c r="L80" s="52"/>
      <c r="M80" s="52"/>
      <c r="N80" s="52"/>
      <c r="O80" s="52"/>
      <c r="P80" s="52"/>
      <c r="Q80" s="52"/>
      <c r="R80" s="52"/>
      <c r="S80" s="52"/>
      <c r="T80" s="52"/>
      <c r="U80" s="52"/>
      <c r="V80" s="52"/>
      <c r="W80" s="52"/>
      <c r="X80" s="52"/>
      <c r="Y80" s="52"/>
      <c r="Z80" s="52"/>
    </row>
    <row r="81" spans="1:26" ht="30">
      <c r="A81" s="50" t="s">
        <v>47</v>
      </c>
      <c r="B81" s="39" t="s">
        <v>138</v>
      </c>
      <c r="C81" s="51">
        <v>43914</v>
      </c>
      <c r="D81" s="30" t="s">
        <v>19</v>
      </c>
      <c r="E81" s="30" t="s">
        <v>139</v>
      </c>
      <c r="F81" s="42" t="str">
        <f>HYPERLINK("https://s3.amazonaws.com/fn-document-service/file-by-sha384/191f48f686fef04af609beef269f8573c56241cfb2ab0f25e8a4bea04bac30845d24b57804bd36411bc5078cfec1e4c1#page=5","Board of Supervisors Agenda")</f>
        <v>Board of Supervisors Agenda</v>
      </c>
      <c r="G81" s="38" t="s">
        <v>10</v>
      </c>
      <c r="H81" s="52"/>
      <c r="I81" s="52"/>
      <c r="J81" s="52"/>
      <c r="K81" s="52"/>
      <c r="L81" s="52"/>
      <c r="M81" s="52"/>
      <c r="N81" s="52"/>
      <c r="O81" s="52"/>
      <c r="P81" s="52"/>
      <c r="Q81" s="52"/>
      <c r="R81" s="52"/>
      <c r="S81" s="52"/>
      <c r="T81" s="52"/>
      <c r="U81" s="52"/>
      <c r="V81" s="52"/>
      <c r="W81" s="52"/>
      <c r="X81" s="52"/>
      <c r="Y81" s="52"/>
      <c r="Z81" s="52"/>
    </row>
    <row r="82" spans="1:26" ht="49.5" customHeight="1">
      <c r="A82" s="50" t="s">
        <v>47</v>
      </c>
      <c r="B82" s="39" t="s">
        <v>140</v>
      </c>
      <c r="C82" s="51">
        <v>43916</v>
      </c>
      <c r="D82" s="30" t="s">
        <v>13</v>
      </c>
      <c r="E82" s="30" t="s">
        <v>141</v>
      </c>
      <c r="F82" s="43" t="str">
        <f>HYPERLINK("https://www.menlopark.org/DocumentCenter/View/24565/F2-20200326-CC-Tenant-Relocation-Assistance-Program-Amendment","City Council Meeting Agenda")</f>
        <v>City Council Meeting Agenda</v>
      </c>
      <c r="G82" s="38" t="s">
        <v>10</v>
      </c>
      <c r="H82" s="52"/>
      <c r="I82" s="52"/>
      <c r="J82" s="52"/>
      <c r="K82" s="52"/>
      <c r="L82" s="52"/>
      <c r="M82" s="52"/>
      <c r="N82" s="52"/>
      <c r="O82" s="52"/>
      <c r="P82" s="52"/>
      <c r="Q82" s="52"/>
      <c r="R82" s="52"/>
      <c r="S82" s="52"/>
      <c r="T82" s="52"/>
      <c r="U82" s="52"/>
      <c r="V82" s="52"/>
      <c r="W82" s="52"/>
      <c r="X82" s="52"/>
      <c r="Y82" s="52"/>
      <c r="Z82" s="52"/>
    </row>
    <row r="83" spans="1:26" ht="30">
      <c r="A83" s="50" t="s">
        <v>47</v>
      </c>
      <c r="B83" s="39" t="s">
        <v>142</v>
      </c>
      <c r="C83" s="51">
        <v>43935</v>
      </c>
      <c r="D83" s="30" t="s">
        <v>19</v>
      </c>
      <c r="E83" s="30" t="s">
        <v>143</v>
      </c>
      <c r="F83" s="42" t="str">
        <f>HYPERLINK("https://s3.amazonaws.com/fn-document-service/file-by-sha384/78c839e683a5383f3aea1b23cb6e3e443da07da56c369b9196c89df81cd9dd06da53dfddc6c6022d49b9d1b52b4c4573#page=2","City Council Meeting Agenda")</f>
        <v>City Council Meeting Agenda</v>
      </c>
      <c r="G83" s="38" t="s">
        <v>10</v>
      </c>
      <c r="H83" s="52"/>
      <c r="I83" s="52"/>
      <c r="J83" s="52"/>
      <c r="K83" s="52"/>
      <c r="L83" s="52"/>
      <c r="M83" s="52"/>
      <c r="N83" s="52"/>
      <c r="O83" s="52"/>
      <c r="P83" s="52"/>
      <c r="Q83" s="52"/>
      <c r="R83" s="52"/>
      <c r="S83" s="52"/>
      <c r="T83" s="52"/>
      <c r="U83" s="52"/>
      <c r="V83" s="52"/>
      <c r="W83" s="52"/>
      <c r="X83" s="52"/>
      <c r="Y83" s="52"/>
      <c r="Z83" s="52"/>
    </row>
    <row r="84" spans="1:26" ht="30">
      <c r="A84" s="50" t="s">
        <v>47</v>
      </c>
      <c r="B84" s="39" t="s">
        <v>144</v>
      </c>
      <c r="C84" s="51">
        <v>43970</v>
      </c>
      <c r="D84" s="51" t="s">
        <v>19</v>
      </c>
      <c r="E84" s="30" t="s">
        <v>145</v>
      </c>
      <c r="F84" s="43" t="s">
        <v>146</v>
      </c>
      <c r="G84" s="38" t="s">
        <v>10</v>
      </c>
      <c r="H84" s="52"/>
      <c r="I84" s="52"/>
      <c r="J84" s="52"/>
      <c r="K84" s="52"/>
      <c r="L84" s="52"/>
      <c r="M84" s="52"/>
      <c r="N84" s="52"/>
      <c r="O84" s="52"/>
      <c r="P84" s="52"/>
      <c r="Q84" s="52"/>
      <c r="R84" s="52"/>
      <c r="S84" s="52"/>
      <c r="T84" s="52"/>
      <c r="U84" s="52"/>
      <c r="V84" s="52"/>
      <c r="W84" s="52"/>
      <c r="X84" s="52"/>
      <c r="Y84" s="52"/>
      <c r="Z84" s="52"/>
    </row>
    <row r="85" spans="1:26" ht="75.75" customHeight="1">
      <c r="A85" s="50" t="s">
        <v>47</v>
      </c>
      <c r="B85" s="39" t="s">
        <v>147</v>
      </c>
      <c r="C85" s="51">
        <v>43963</v>
      </c>
      <c r="D85" s="51" t="s">
        <v>13</v>
      </c>
      <c r="E85" s="30" t="s">
        <v>148</v>
      </c>
      <c r="F85" s="43" t="s">
        <v>149</v>
      </c>
      <c r="G85" s="38" t="s">
        <v>10</v>
      </c>
      <c r="H85" s="52"/>
      <c r="I85" s="52"/>
      <c r="J85" s="52"/>
      <c r="K85" s="52"/>
      <c r="L85" s="52"/>
      <c r="M85" s="52"/>
      <c r="N85" s="52"/>
      <c r="O85" s="52"/>
      <c r="P85" s="52"/>
      <c r="Q85" s="52"/>
      <c r="R85" s="52"/>
      <c r="S85" s="52"/>
      <c r="T85" s="52"/>
      <c r="U85" s="52"/>
      <c r="V85" s="52"/>
      <c r="W85" s="52"/>
      <c r="X85" s="52"/>
      <c r="Y85" s="52"/>
      <c r="Z85" s="52"/>
    </row>
    <row r="86" spans="1:26" ht="45">
      <c r="A86" s="50" t="s">
        <v>47</v>
      </c>
      <c r="B86" s="39" t="s">
        <v>150</v>
      </c>
      <c r="C86" s="51">
        <v>43962</v>
      </c>
      <c r="D86" s="51" t="s">
        <v>13</v>
      </c>
      <c r="E86" s="30" t="s">
        <v>151</v>
      </c>
      <c r="F86" s="43" t="s">
        <v>68</v>
      </c>
      <c r="G86" s="38" t="s">
        <v>10</v>
      </c>
      <c r="H86" s="52"/>
      <c r="I86" s="52"/>
      <c r="J86" s="52"/>
      <c r="K86" s="52"/>
      <c r="L86" s="52"/>
      <c r="M86" s="52"/>
      <c r="N86" s="52"/>
      <c r="O86" s="52"/>
      <c r="P86" s="52"/>
      <c r="Q86" s="52"/>
      <c r="R86" s="52"/>
      <c r="S86" s="52"/>
      <c r="T86" s="52"/>
      <c r="U86" s="52"/>
      <c r="V86" s="52"/>
      <c r="W86" s="52"/>
      <c r="X86" s="52"/>
      <c r="Y86" s="52"/>
      <c r="Z86" s="52"/>
    </row>
    <row r="87" spans="1:26" ht="60">
      <c r="A87" s="50" t="s">
        <v>47</v>
      </c>
      <c r="B87" s="39" t="s">
        <v>152</v>
      </c>
      <c r="C87" s="51">
        <v>44011</v>
      </c>
      <c r="D87" s="51" t="s">
        <v>247</v>
      </c>
      <c r="E87" s="30" t="s">
        <v>1270</v>
      </c>
      <c r="F87" s="43" t="s">
        <v>1271</v>
      </c>
      <c r="G87" s="38" t="s">
        <v>10</v>
      </c>
      <c r="H87" s="52"/>
      <c r="I87" s="52"/>
      <c r="J87" s="52"/>
      <c r="K87" s="52"/>
      <c r="L87" s="52"/>
      <c r="M87" s="52"/>
      <c r="N87" s="52"/>
      <c r="O87" s="52"/>
      <c r="P87" s="52"/>
      <c r="Q87" s="52"/>
      <c r="R87" s="52"/>
      <c r="S87" s="52"/>
      <c r="T87" s="52"/>
      <c r="U87" s="52"/>
      <c r="V87" s="52"/>
      <c r="W87" s="52"/>
      <c r="X87" s="52"/>
      <c r="Y87" s="52"/>
      <c r="Z87" s="52"/>
    </row>
    <row r="88" spans="1:26" ht="60">
      <c r="A88" s="50" t="s">
        <v>47</v>
      </c>
      <c r="B88" s="39" t="s">
        <v>152</v>
      </c>
      <c r="C88" s="51">
        <v>43970</v>
      </c>
      <c r="D88" s="30" t="s">
        <v>19</v>
      </c>
      <c r="E88" s="30" t="s">
        <v>153</v>
      </c>
      <c r="F88" s="43" t="str">
        <f>HYPERLINK("https://s3.amazonaws.com/fn-document-service/file-by-sha384/4586bd490f96e4cbc9c09285278ab21e45aacdcb8289eba55c86d970e5f512e502855670069727f13062c296f7a4cbaa#page=4","City Council Meeting Agenda")</f>
        <v>City Council Meeting Agenda</v>
      </c>
      <c r="G88" s="38" t="s">
        <v>10</v>
      </c>
      <c r="H88" s="52"/>
      <c r="I88" s="52"/>
      <c r="J88" s="52"/>
      <c r="K88" s="52"/>
      <c r="L88" s="52"/>
      <c r="M88" s="52"/>
      <c r="N88" s="52"/>
      <c r="O88" s="52"/>
      <c r="P88" s="52"/>
      <c r="Q88" s="52"/>
      <c r="R88" s="52"/>
      <c r="S88" s="52"/>
      <c r="T88" s="52"/>
      <c r="U88" s="52"/>
      <c r="V88" s="52"/>
      <c r="W88" s="52"/>
      <c r="X88" s="52"/>
      <c r="Y88" s="52"/>
      <c r="Z88" s="52"/>
    </row>
    <row r="89" spans="1:26" ht="105">
      <c r="A89" s="50" t="s">
        <v>47</v>
      </c>
      <c r="B89" s="39" t="s">
        <v>152</v>
      </c>
      <c r="C89" s="51">
        <v>43938</v>
      </c>
      <c r="D89" s="30" t="s">
        <v>154</v>
      </c>
      <c r="E89" s="30" t="s">
        <v>155</v>
      </c>
      <c r="F89" s="43" t="s">
        <v>156</v>
      </c>
      <c r="G89" s="38" t="s">
        <v>10</v>
      </c>
      <c r="H89" s="52"/>
      <c r="I89" s="52"/>
      <c r="J89" s="52"/>
      <c r="K89" s="52"/>
      <c r="L89" s="52"/>
      <c r="M89" s="52"/>
      <c r="N89" s="52"/>
      <c r="O89" s="52"/>
      <c r="P89" s="52"/>
      <c r="Q89" s="52"/>
      <c r="R89" s="52"/>
      <c r="S89" s="52"/>
      <c r="T89" s="52"/>
      <c r="U89" s="52"/>
      <c r="V89" s="52"/>
      <c r="W89" s="52"/>
      <c r="X89" s="52"/>
      <c r="Y89" s="52"/>
      <c r="Z89" s="52"/>
    </row>
    <row r="90" spans="1:26" ht="105" customHeight="1">
      <c r="A90" s="50" t="s">
        <v>47</v>
      </c>
      <c r="B90" s="39" t="s">
        <v>152</v>
      </c>
      <c r="C90" s="51">
        <v>44011</v>
      </c>
      <c r="D90" s="30"/>
      <c r="E90" s="30" t="s">
        <v>1272</v>
      </c>
      <c r="F90" s="43" t="s">
        <v>1271</v>
      </c>
      <c r="G90" s="38"/>
      <c r="H90" s="52"/>
      <c r="I90" s="52"/>
      <c r="J90" s="52"/>
      <c r="K90" s="52"/>
      <c r="L90" s="52"/>
      <c r="M90" s="52"/>
      <c r="N90" s="52"/>
      <c r="O90" s="52"/>
      <c r="P90" s="52"/>
      <c r="Q90" s="52"/>
      <c r="R90" s="52"/>
      <c r="S90" s="52"/>
      <c r="T90" s="52"/>
      <c r="U90" s="52"/>
      <c r="V90" s="52"/>
      <c r="W90" s="52"/>
      <c r="X90" s="52"/>
      <c r="Y90" s="52"/>
      <c r="Z90" s="52"/>
    </row>
    <row r="91" spans="1:26" ht="30">
      <c r="A91" s="50" t="s">
        <v>47</v>
      </c>
      <c r="B91" s="39" t="s">
        <v>157</v>
      </c>
      <c r="C91" s="51">
        <v>43916</v>
      </c>
      <c r="D91" s="30" t="s">
        <v>19</v>
      </c>
      <c r="E91" s="30" t="s">
        <v>158</v>
      </c>
      <c r="F91" s="42" t="str">
        <f>HYPERLINK("https://s3.amazonaws.com/fn-document-service/file-by-sha384/a516227d2baad0cee0cc27407b5f06a17b1ce0cd648f6b76caf327e57b3d8d193ffa0da4b3243f6a6de739e337dbe993#page=1","City Council Meeting Agenda")</f>
        <v>City Council Meeting Agenda</v>
      </c>
      <c r="G91" s="38" t="s">
        <v>10</v>
      </c>
      <c r="H91" s="52"/>
      <c r="I91" s="52"/>
      <c r="J91" s="52"/>
      <c r="K91" s="52"/>
      <c r="L91" s="52"/>
      <c r="M91" s="52"/>
      <c r="N91" s="52"/>
      <c r="O91" s="52"/>
      <c r="P91" s="52"/>
      <c r="Q91" s="52"/>
      <c r="R91" s="52"/>
      <c r="S91" s="52"/>
      <c r="T91" s="52"/>
      <c r="U91" s="52"/>
      <c r="V91" s="52"/>
      <c r="W91" s="52"/>
      <c r="X91" s="52"/>
      <c r="Y91" s="52"/>
      <c r="Z91" s="52"/>
    </row>
    <row r="92" spans="1:26" ht="30">
      <c r="A92" s="50" t="s">
        <v>47</v>
      </c>
      <c r="B92" s="39" t="s">
        <v>159</v>
      </c>
      <c r="C92" s="51">
        <v>43977</v>
      </c>
      <c r="D92" s="51" t="s">
        <v>19</v>
      </c>
      <c r="E92" s="30" t="s">
        <v>160</v>
      </c>
      <c r="F92" s="43" t="str">
        <f>HYPERLINK("https://s3.amazonaws.com/fn-document-service/file-by-sha384/04ebde0244aa452dbec2afb78cfec9054c6f5024f99899dc21015305f1e252d1f2a5806b3ee7117d28841521194f4daa#page=","City Council Meeting Agenda")</f>
        <v>City Council Meeting Agenda</v>
      </c>
      <c r="G92" s="38" t="s">
        <v>10</v>
      </c>
      <c r="H92" s="52"/>
      <c r="I92" s="52"/>
      <c r="J92" s="52"/>
      <c r="K92" s="52"/>
      <c r="L92" s="52"/>
      <c r="M92" s="52"/>
      <c r="N92" s="52"/>
      <c r="O92" s="52"/>
      <c r="P92" s="52"/>
      <c r="Q92" s="52"/>
      <c r="R92" s="52"/>
      <c r="S92" s="52"/>
      <c r="T92" s="52"/>
      <c r="U92" s="52"/>
      <c r="V92" s="52"/>
      <c r="W92" s="52"/>
      <c r="X92" s="52"/>
      <c r="Y92" s="52"/>
      <c r="Z92" s="52"/>
    </row>
    <row r="93" spans="1:26" ht="30">
      <c r="A93" s="50" t="s">
        <v>47</v>
      </c>
      <c r="B93" s="39" t="s">
        <v>161</v>
      </c>
      <c r="C93" s="51">
        <v>43928</v>
      </c>
      <c r="D93" s="30" t="s">
        <v>19</v>
      </c>
      <c r="E93" s="30" t="s">
        <v>162</v>
      </c>
      <c r="F93" s="42" t="str">
        <f>HYPERLINK("https://s3.amazonaws.com/fn-document-service/file-by-sha384/732429571cf64c3befed50929cc593be09952fe64017042f4cdc42d493d4bd5d0965fb5536c0c4913e279c08d44b3998#page=","City Council Meeting Agenda")</f>
        <v>City Council Meeting Agenda</v>
      </c>
      <c r="G93" s="38" t="s">
        <v>10</v>
      </c>
      <c r="H93" s="52"/>
      <c r="I93" s="52"/>
      <c r="J93" s="52"/>
      <c r="K93" s="52"/>
      <c r="L93" s="52"/>
      <c r="M93" s="52"/>
      <c r="N93" s="52"/>
      <c r="O93" s="52"/>
      <c r="P93" s="52"/>
      <c r="Q93" s="52"/>
      <c r="R93" s="52"/>
      <c r="S93" s="52"/>
      <c r="T93" s="52"/>
      <c r="U93" s="52"/>
      <c r="V93" s="52"/>
      <c r="W93" s="52"/>
      <c r="X93" s="52"/>
      <c r="Y93" s="52"/>
      <c r="Z93" s="52"/>
    </row>
    <row r="94" spans="1:26" ht="45">
      <c r="A94" s="50" t="s">
        <v>47</v>
      </c>
      <c r="B94" s="39" t="s">
        <v>163</v>
      </c>
      <c r="C94" s="51">
        <v>43908</v>
      </c>
      <c r="D94" s="30" t="s">
        <v>13</v>
      </c>
      <c r="E94" s="30" t="s">
        <v>164</v>
      </c>
      <c r="F94" s="42" t="str">
        <f>HYPERLINK("https://www.mv-voice.com/news/2020/03/18/mountain-view-city-council-approves-500k-emergency-relief-fund-for-struggling-tenants","Mountain View City Council approves $500K emergency relief fund for struggling tenants")</f>
        <v>Mountain View City Council approves $500K emergency relief fund for struggling tenants</v>
      </c>
      <c r="G94" s="38" t="s">
        <v>10</v>
      </c>
      <c r="H94" s="52"/>
      <c r="I94" s="52"/>
      <c r="J94" s="52"/>
      <c r="K94" s="52"/>
      <c r="L94" s="52"/>
      <c r="M94" s="52"/>
      <c r="N94" s="52"/>
      <c r="O94" s="52"/>
      <c r="P94" s="52"/>
      <c r="Q94" s="52"/>
      <c r="R94" s="52"/>
      <c r="S94" s="52"/>
      <c r="T94" s="52"/>
      <c r="U94" s="52"/>
      <c r="V94" s="52"/>
      <c r="W94" s="52"/>
      <c r="X94" s="52"/>
      <c r="Y94" s="52"/>
      <c r="Z94" s="52"/>
    </row>
    <row r="95" spans="1:26" ht="105">
      <c r="A95" s="50" t="s">
        <v>47</v>
      </c>
      <c r="B95" s="39" t="s">
        <v>1140</v>
      </c>
      <c r="C95" s="51">
        <v>44036</v>
      </c>
      <c r="D95" s="30" t="s">
        <v>13</v>
      </c>
      <c r="E95" s="30" t="s">
        <v>1141</v>
      </c>
      <c r="F95" s="43" t="s">
        <v>1142</v>
      </c>
      <c r="G95" s="38" t="s">
        <v>10</v>
      </c>
      <c r="H95" s="52"/>
      <c r="I95" s="52"/>
      <c r="J95" s="52"/>
      <c r="K95" s="52"/>
      <c r="L95" s="52"/>
      <c r="M95" s="52"/>
      <c r="N95" s="52"/>
      <c r="O95" s="52"/>
      <c r="P95" s="52"/>
      <c r="Q95" s="52"/>
      <c r="R95" s="52"/>
      <c r="S95" s="52"/>
      <c r="T95" s="52"/>
      <c r="U95" s="52"/>
      <c r="V95" s="52"/>
      <c r="W95" s="52"/>
      <c r="X95" s="52"/>
      <c r="Y95" s="52"/>
      <c r="Z95" s="52"/>
    </row>
    <row r="96" spans="1:26" ht="30">
      <c r="A96" s="50" t="s">
        <v>47</v>
      </c>
      <c r="B96" s="39" t="s">
        <v>165</v>
      </c>
      <c r="C96" s="51">
        <v>43969</v>
      </c>
      <c r="D96" s="30" t="s">
        <v>19</v>
      </c>
      <c r="E96" s="30" t="s">
        <v>166</v>
      </c>
      <c r="F96" s="43" t="str">
        <f>HYPERLINK("https://s3.amazonaws.com/fn-document-service/file-by-sha384/9941531afefbe7bdedd76266038d598ce3d73c68e5fd7e939c777cb647ca865a992c084ff95d12bd0c4e82991efc8cb6#page=","City Council Meeting Agenda")</f>
        <v>City Council Meeting Agenda</v>
      </c>
      <c r="G96" s="38" t="s">
        <v>10</v>
      </c>
      <c r="H96" s="52"/>
      <c r="I96" s="52"/>
      <c r="J96" s="52"/>
      <c r="K96" s="52"/>
      <c r="L96" s="52"/>
      <c r="M96" s="52"/>
      <c r="N96" s="52"/>
      <c r="O96" s="52"/>
      <c r="P96" s="52"/>
      <c r="Q96" s="52"/>
      <c r="R96" s="52"/>
      <c r="S96" s="52"/>
      <c r="T96" s="52"/>
      <c r="U96" s="52"/>
      <c r="V96" s="52"/>
      <c r="W96" s="52"/>
      <c r="X96" s="52"/>
      <c r="Y96" s="52"/>
      <c r="Z96" s="52"/>
    </row>
    <row r="97" spans="1:26" ht="60">
      <c r="A97" s="50" t="s">
        <v>47</v>
      </c>
      <c r="B97" s="39" t="s">
        <v>165</v>
      </c>
      <c r="C97" s="51">
        <v>44027</v>
      </c>
      <c r="D97" s="30" t="s">
        <v>13</v>
      </c>
      <c r="E97" s="30" t="s">
        <v>1143</v>
      </c>
      <c r="F97" s="43" t="s">
        <v>1144</v>
      </c>
      <c r="G97" s="38" t="s">
        <v>10</v>
      </c>
      <c r="H97" s="52"/>
      <c r="I97" s="52"/>
      <c r="J97" s="52"/>
      <c r="K97" s="52"/>
      <c r="L97" s="52"/>
      <c r="M97" s="52"/>
      <c r="N97" s="52"/>
      <c r="O97" s="52"/>
      <c r="P97" s="52"/>
      <c r="Q97" s="52"/>
      <c r="R97" s="52"/>
      <c r="S97" s="52"/>
      <c r="T97" s="52"/>
      <c r="U97" s="52"/>
      <c r="V97" s="52"/>
      <c r="W97" s="52"/>
      <c r="X97" s="52"/>
      <c r="Y97" s="52"/>
      <c r="Z97" s="52"/>
    </row>
    <row r="98" spans="1:26" ht="30">
      <c r="A98" s="50" t="s">
        <v>47</v>
      </c>
      <c r="B98" s="39" t="s">
        <v>167</v>
      </c>
      <c r="C98" s="51">
        <v>43921</v>
      </c>
      <c r="D98" s="30" t="s">
        <v>19</v>
      </c>
      <c r="E98" s="30" t="s">
        <v>168</v>
      </c>
      <c r="F98" s="42" t="str">
        <f>HYPERLINK("https://s3.amazonaws.com/fn-document-service/file-by-sha384/608b1c17f8fa3727688fa662a2152bd4198cbb5e3e7604fb02495d8b87ddc385be752eff264fc250d7894ca88e99a898#page=3","City Council Meeting Agenda")</f>
        <v>City Council Meeting Agenda</v>
      </c>
      <c r="G98" s="38" t="s">
        <v>10</v>
      </c>
      <c r="H98" s="52"/>
      <c r="I98" s="52"/>
      <c r="J98" s="52"/>
      <c r="K98" s="52"/>
      <c r="L98" s="52"/>
      <c r="M98" s="52"/>
      <c r="N98" s="52"/>
      <c r="O98" s="52"/>
      <c r="P98" s="52"/>
      <c r="Q98" s="52"/>
      <c r="R98" s="52"/>
      <c r="S98" s="52"/>
      <c r="T98" s="52"/>
      <c r="U98" s="52"/>
      <c r="V98" s="52"/>
      <c r="W98" s="52"/>
      <c r="X98" s="52"/>
      <c r="Y98" s="52"/>
      <c r="Z98" s="52"/>
    </row>
    <row r="99" spans="1:26" ht="45">
      <c r="A99" s="50" t="s">
        <v>47</v>
      </c>
      <c r="B99" s="39" t="s">
        <v>169</v>
      </c>
      <c r="C99" s="51">
        <v>43927</v>
      </c>
      <c r="D99" s="30" t="s">
        <v>19</v>
      </c>
      <c r="E99" s="30" t="s">
        <v>170</v>
      </c>
      <c r="F99" s="42" t="str">
        <f>HYPERLINK("https://s3.amazonaws.com/fn-document-service/file-by-sha384/b9f1d5619551df9e7a0e701c252c3148425a2e6c949428b0b15a4d800fbf86ff470e23d17d38953973d9a17be9feafe5#page=4","City Council Meeting Agenda")</f>
        <v>City Council Meeting Agenda</v>
      </c>
      <c r="G99" s="38" t="s">
        <v>10</v>
      </c>
      <c r="H99" s="52"/>
      <c r="I99" s="52"/>
      <c r="J99" s="52"/>
      <c r="K99" s="52"/>
      <c r="L99" s="52"/>
      <c r="M99" s="52"/>
      <c r="N99" s="52"/>
      <c r="O99" s="52"/>
      <c r="P99" s="52"/>
      <c r="Q99" s="52"/>
      <c r="R99" s="52"/>
      <c r="S99" s="52"/>
      <c r="T99" s="52"/>
      <c r="U99" s="52"/>
      <c r="V99" s="52"/>
      <c r="W99" s="52"/>
      <c r="X99" s="52"/>
      <c r="Y99" s="52"/>
      <c r="Z99" s="52"/>
    </row>
    <row r="100" spans="1:26" ht="30">
      <c r="A100" s="50" t="s">
        <v>47</v>
      </c>
      <c r="B100" s="39" t="s">
        <v>171</v>
      </c>
      <c r="C100" s="51">
        <v>43929</v>
      </c>
      <c r="D100" s="30" t="s">
        <v>19</v>
      </c>
      <c r="E100" s="30" t="s">
        <v>172</v>
      </c>
      <c r="F100" s="42" t="str">
        <f>HYPERLINK("https://s3.amazonaws.com/fn-document-service/file-by-sha384/30300577f71dbcb601d64fb2d873d13266c865a8c07df288bcba51bfbd2ba58afa851d3bfb292a5d89cd6d10af1cad5b#page=2","Town Council Meeting Agenda")</f>
        <v>Town Council Meeting Agenda</v>
      </c>
      <c r="G100" s="38" t="s">
        <v>10</v>
      </c>
      <c r="H100" s="52"/>
      <c r="I100" s="52"/>
      <c r="J100" s="52"/>
      <c r="K100" s="52"/>
      <c r="L100" s="52"/>
      <c r="M100" s="52"/>
      <c r="N100" s="52"/>
      <c r="O100" s="52"/>
      <c r="P100" s="52"/>
      <c r="Q100" s="52"/>
      <c r="R100" s="52"/>
      <c r="S100" s="52"/>
      <c r="T100" s="52"/>
      <c r="U100" s="52"/>
      <c r="V100" s="52"/>
      <c r="W100" s="52"/>
      <c r="X100" s="52"/>
      <c r="Y100" s="52"/>
      <c r="Z100" s="52"/>
    </row>
    <row r="101" spans="1:26" ht="75">
      <c r="A101" s="50" t="s">
        <v>47</v>
      </c>
      <c r="B101" s="39" t="s">
        <v>173</v>
      </c>
      <c r="C101" s="51">
        <v>43957</v>
      </c>
      <c r="D101" s="30" t="s">
        <v>19</v>
      </c>
      <c r="E101" s="30" t="s">
        <v>174</v>
      </c>
      <c r="F101" s="43" t="str">
        <f>HYPERLINK("https://s3.amazonaws.com/fn-document-service/file-by-sha384/fe1826c8de4b82079109f37de463aebc3503d463bff13bb587b3556fa653a6d32e00164ba5e6c7026c32f2272829bda8#page=14","City of Rancho Cucamonga Issues a Moratorium on Evictions,
Declares Local Emergency in Response to COVID-19 (Coronavirus")</f>
        <v>City of Rancho Cucamonga Issues a Moratorium on Evictions,
Declares Local Emergency in Response to COVID-19 (Coronavirus</v>
      </c>
      <c r="G101" s="38" t="s">
        <v>10</v>
      </c>
      <c r="H101" s="52"/>
      <c r="I101" s="52"/>
      <c r="J101" s="52"/>
      <c r="K101" s="52"/>
      <c r="L101" s="52"/>
      <c r="M101" s="52"/>
      <c r="N101" s="52"/>
      <c r="O101" s="52"/>
      <c r="P101" s="52"/>
      <c r="Q101" s="52"/>
      <c r="R101" s="52"/>
      <c r="S101" s="52"/>
      <c r="T101" s="52"/>
      <c r="U101" s="52"/>
      <c r="V101" s="52"/>
      <c r="W101" s="52"/>
      <c r="X101" s="52"/>
      <c r="Y101" s="52"/>
      <c r="Z101" s="52"/>
    </row>
    <row r="102" spans="1:26" ht="75">
      <c r="A102" s="50" t="s">
        <v>47</v>
      </c>
      <c r="B102" s="39" t="s">
        <v>175</v>
      </c>
      <c r="C102" s="51">
        <v>43916</v>
      </c>
      <c r="D102" s="30" t="s">
        <v>19</v>
      </c>
      <c r="E102" s="30" t="s">
        <v>176</v>
      </c>
      <c r="F102" s="42" t="str">
        <f>HYPERLINK("https://s3.amazonaws.com/fn-document-service/file-by-sha384/4c3731738027fac486e670258c18141cff650419cf994c77cd0bab614baff92d0daf2835e09a850e90d6513d0631f406#page=","City Council Meeting Agenda")</f>
        <v>City Council Meeting Agenda</v>
      </c>
      <c r="G102" s="38" t="s">
        <v>10</v>
      </c>
      <c r="H102" s="52"/>
      <c r="I102" s="52"/>
      <c r="J102" s="52"/>
      <c r="K102" s="52"/>
      <c r="L102" s="52"/>
      <c r="M102" s="52"/>
      <c r="N102" s="52"/>
      <c r="O102" s="52"/>
      <c r="P102" s="52"/>
      <c r="Q102" s="52"/>
      <c r="R102" s="52"/>
      <c r="S102" s="52"/>
      <c r="T102" s="52"/>
      <c r="U102" s="52"/>
      <c r="V102" s="52"/>
      <c r="W102" s="52"/>
      <c r="X102" s="52"/>
      <c r="Y102" s="52"/>
      <c r="Z102" s="52"/>
    </row>
    <row r="103" spans="1:26" ht="45">
      <c r="A103" s="50" t="s">
        <v>47</v>
      </c>
      <c r="B103" s="39" t="s">
        <v>177</v>
      </c>
      <c r="C103" s="51">
        <v>43977</v>
      </c>
      <c r="D103" s="30" t="s">
        <v>19</v>
      </c>
      <c r="E103" s="30" t="s">
        <v>178</v>
      </c>
      <c r="F103" s="43" t="str">
        <f>HYPERLINK("https://s3.amazonaws.com/fn-document-service/file-by-sha384/3d04cc7ff22a02e64ffc63dbf2310f124eee6c93011ccdb4ab7891f75b05e26efbed2375ec4cdb528906ed6c1820fa4f#page=3","City Council Meeting Agenda")</f>
        <v>City Council Meeting Agenda</v>
      </c>
      <c r="G103" s="38" t="s">
        <v>10</v>
      </c>
      <c r="H103" s="52"/>
      <c r="I103" s="52"/>
      <c r="J103" s="52"/>
      <c r="K103" s="52"/>
      <c r="L103" s="52"/>
      <c r="M103" s="52"/>
      <c r="N103" s="52"/>
      <c r="O103" s="52"/>
      <c r="P103" s="52"/>
      <c r="Q103" s="52"/>
      <c r="R103" s="52"/>
      <c r="S103" s="52"/>
      <c r="T103" s="52"/>
      <c r="U103" s="52"/>
      <c r="V103" s="52"/>
      <c r="W103" s="52"/>
      <c r="X103" s="52"/>
      <c r="Y103" s="52"/>
      <c r="Z103" s="52"/>
    </row>
    <row r="104" spans="1:26" ht="45.75" customHeight="1">
      <c r="A104" s="50" t="s">
        <v>47</v>
      </c>
      <c r="B104" s="39" t="s">
        <v>177</v>
      </c>
      <c r="C104" s="51">
        <v>43987</v>
      </c>
      <c r="D104" s="30" t="s">
        <v>13</v>
      </c>
      <c r="E104" s="30" t="s">
        <v>985</v>
      </c>
      <c r="F104" s="43" t="s">
        <v>979</v>
      </c>
      <c r="G104" s="38" t="s">
        <v>10</v>
      </c>
      <c r="H104" s="52"/>
      <c r="I104" s="52"/>
      <c r="J104" s="52"/>
      <c r="K104" s="52"/>
      <c r="L104" s="52"/>
      <c r="M104" s="52"/>
      <c r="N104" s="52"/>
      <c r="O104" s="52"/>
      <c r="P104" s="52"/>
      <c r="Q104" s="52"/>
      <c r="R104" s="52"/>
      <c r="S104" s="52"/>
      <c r="T104" s="52"/>
      <c r="U104" s="52"/>
      <c r="V104" s="52"/>
      <c r="W104" s="52"/>
      <c r="X104" s="52"/>
      <c r="Y104" s="52"/>
      <c r="Z104" s="52"/>
    </row>
    <row r="105" spans="1:26" ht="45">
      <c r="A105" s="50" t="s">
        <v>47</v>
      </c>
      <c r="B105" s="39" t="s">
        <v>179</v>
      </c>
      <c r="C105" s="51">
        <v>43915</v>
      </c>
      <c r="D105" s="30" t="s">
        <v>19</v>
      </c>
      <c r="E105" s="30" t="s">
        <v>180</v>
      </c>
      <c r="F105" s="42" t="str">
        <f>HYPERLINK("https://s3.amazonaws.com/fn-document-service/file-by-sha384/a0658aa52193fa2c3ada608d540e384cb76cbae548e779dd0ed5e4fc7ebc65aeadba6d8e9be37bbd6818a6b2444afb00#page=","City Council Meeting Agenda")</f>
        <v>City Council Meeting Agenda</v>
      </c>
      <c r="G105" s="38" t="s">
        <v>10</v>
      </c>
      <c r="H105" s="52"/>
      <c r="I105" s="52"/>
      <c r="J105" s="52"/>
      <c r="K105" s="52"/>
      <c r="L105" s="52"/>
      <c r="M105" s="52"/>
      <c r="N105" s="52"/>
      <c r="O105" s="52"/>
      <c r="P105" s="52"/>
      <c r="Q105" s="52"/>
      <c r="R105" s="52"/>
      <c r="S105" s="52"/>
      <c r="T105" s="52"/>
      <c r="U105" s="52"/>
      <c r="V105" s="52"/>
      <c r="W105" s="52"/>
      <c r="X105" s="52"/>
      <c r="Y105" s="52"/>
      <c r="Z105" s="52"/>
    </row>
    <row r="106" spans="1:26" ht="45">
      <c r="A106" s="50" t="s">
        <v>47</v>
      </c>
      <c r="B106" s="39" t="s">
        <v>1010</v>
      </c>
      <c r="C106" s="51">
        <v>43914</v>
      </c>
      <c r="D106" s="30" t="s">
        <v>49</v>
      </c>
      <c r="E106" s="30" t="s">
        <v>1011</v>
      </c>
      <c r="F106" s="43" t="s">
        <v>1012</v>
      </c>
      <c r="G106" s="38" t="s">
        <v>10</v>
      </c>
      <c r="H106" s="52"/>
      <c r="I106" s="52"/>
      <c r="J106" s="52"/>
      <c r="K106" s="52"/>
      <c r="L106" s="52"/>
      <c r="M106" s="52"/>
      <c r="N106" s="52"/>
      <c r="O106" s="52"/>
      <c r="P106" s="52"/>
      <c r="Q106" s="52"/>
      <c r="R106" s="52"/>
      <c r="S106" s="52"/>
      <c r="T106" s="52"/>
      <c r="U106" s="52"/>
      <c r="V106" s="52"/>
      <c r="W106" s="52"/>
      <c r="X106" s="52"/>
      <c r="Y106" s="52"/>
      <c r="Z106" s="52"/>
    </row>
    <row r="107" spans="1:26" ht="45">
      <c r="A107" s="50" t="s">
        <v>47</v>
      </c>
      <c r="B107" s="39" t="s">
        <v>181</v>
      </c>
      <c r="C107" s="51">
        <v>43980</v>
      </c>
      <c r="D107" s="30" t="s">
        <v>19</v>
      </c>
      <c r="E107" s="30" t="s">
        <v>1013</v>
      </c>
      <c r="F107" s="43" t="str">
        <f>HYPERLINK("http://www.cityofsacramento.org/Community-Development/Code-Compliance/Tenant-Protection-Program","City of Sacramento Tenant Protection Program")</f>
        <v>City of Sacramento Tenant Protection Program</v>
      </c>
      <c r="G107" s="38" t="s">
        <v>10</v>
      </c>
      <c r="H107" s="52"/>
      <c r="I107" s="52"/>
      <c r="J107" s="52"/>
      <c r="K107" s="52"/>
      <c r="L107" s="52"/>
      <c r="M107" s="52"/>
      <c r="N107" s="52"/>
      <c r="O107" s="52"/>
      <c r="P107" s="52"/>
      <c r="Q107" s="52"/>
      <c r="R107" s="52"/>
      <c r="S107" s="52"/>
      <c r="T107" s="52"/>
      <c r="U107" s="52"/>
      <c r="V107" s="52"/>
      <c r="W107" s="52"/>
      <c r="X107" s="52"/>
      <c r="Y107" s="52"/>
      <c r="Z107" s="52"/>
    </row>
    <row r="108" spans="1:26" ht="45">
      <c r="A108" s="50" t="s">
        <v>47</v>
      </c>
      <c r="B108" s="39" t="s">
        <v>181</v>
      </c>
      <c r="C108" s="51">
        <v>43914</v>
      </c>
      <c r="D108" s="30" t="s">
        <v>49</v>
      </c>
      <c r="E108" s="30" t="s">
        <v>182</v>
      </c>
      <c r="F108" s="42" t="str">
        <f>HYPERLINK("https://s3.amazonaws.com/fn-document-service/file-by-sha384/d652384851ede6ec00e413e95b97574f40e61fc0abd98f0740069b85f8c36ccd92a9a6a8eb8bf0f10f2a4ff45856cf3c#page=","City Council Meeting Agenda")</f>
        <v>City Council Meeting Agenda</v>
      </c>
      <c r="G108" s="38" t="s">
        <v>10</v>
      </c>
      <c r="H108" s="52"/>
      <c r="I108" s="52"/>
      <c r="J108" s="52"/>
      <c r="K108" s="52"/>
      <c r="L108" s="52"/>
      <c r="M108" s="52"/>
      <c r="N108" s="52"/>
      <c r="O108" s="52"/>
      <c r="P108" s="52"/>
      <c r="Q108" s="52"/>
      <c r="R108" s="52"/>
      <c r="S108" s="52"/>
      <c r="T108" s="52"/>
      <c r="U108" s="52"/>
      <c r="V108" s="52"/>
      <c r="W108" s="52"/>
      <c r="X108" s="52"/>
      <c r="Y108" s="52"/>
      <c r="Z108" s="52"/>
    </row>
    <row r="109" spans="1:26" ht="60">
      <c r="A109" s="50" t="s">
        <v>47</v>
      </c>
      <c r="B109" s="39" t="s">
        <v>181</v>
      </c>
      <c r="C109" s="51">
        <v>43959</v>
      </c>
      <c r="D109" s="30" t="s">
        <v>49</v>
      </c>
      <c r="E109" s="30" t="s">
        <v>183</v>
      </c>
      <c r="F109" s="43" t="s">
        <v>184</v>
      </c>
      <c r="G109" s="38" t="s">
        <v>10</v>
      </c>
      <c r="H109" s="52"/>
      <c r="I109" s="52"/>
      <c r="J109" s="52"/>
      <c r="K109" s="52"/>
      <c r="L109" s="52"/>
      <c r="M109" s="52"/>
      <c r="N109" s="52"/>
      <c r="O109" s="52"/>
      <c r="P109" s="52"/>
      <c r="Q109" s="52"/>
      <c r="R109" s="52"/>
      <c r="S109" s="52"/>
      <c r="T109" s="52"/>
      <c r="U109" s="52"/>
      <c r="V109" s="52"/>
      <c r="W109" s="52"/>
      <c r="X109" s="52"/>
      <c r="Y109" s="52"/>
      <c r="Z109" s="52"/>
    </row>
    <row r="110" spans="1:26" ht="60">
      <c r="A110" s="50" t="s">
        <v>47</v>
      </c>
      <c r="B110" s="39" t="s">
        <v>181</v>
      </c>
      <c r="C110" s="51">
        <v>44133</v>
      </c>
      <c r="D110" s="30" t="s">
        <v>13</v>
      </c>
      <c r="E110" s="30" t="s">
        <v>1431</v>
      </c>
      <c r="F110" s="43" t="s">
        <v>1432</v>
      </c>
      <c r="G110" s="38" t="s">
        <v>10</v>
      </c>
      <c r="H110" s="52"/>
      <c r="I110" s="52"/>
      <c r="J110" s="52"/>
      <c r="K110" s="52"/>
      <c r="L110" s="52"/>
      <c r="M110" s="52"/>
      <c r="N110" s="52"/>
      <c r="O110" s="52"/>
      <c r="P110" s="52"/>
      <c r="Q110" s="52"/>
      <c r="R110" s="52"/>
      <c r="S110" s="52"/>
      <c r="T110" s="52"/>
      <c r="U110" s="52"/>
      <c r="V110" s="52"/>
      <c r="W110" s="52"/>
      <c r="X110" s="52"/>
      <c r="Y110" s="52"/>
      <c r="Z110" s="52"/>
    </row>
    <row r="111" spans="1:26" ht="30">
      <c r="A111" s="50" t="s">
        <v>47</v>
      </c>
      <c r="B111" s="39" t="s">
        <v>185</v>
      </c>
      <c r="C111" s="51">
        <v>43909</v>
      </c>
      <c r="D111" s="51" t="s">
        <v>19</v>
      </c>
      <c r="E111" s="30" t="s">
        <v>186</v>
      </c>
      <c r="F111" s="42" t="str">
        <f>HYPERLINK("https://www.sbsun.com/2020/03/19/coronavirus-concerns-lead-san-bernardino-to-declare-emergency-eviction-moratorium/","Coronavirus concerns lead San Bernardino to declare emergency, eviction moratorium")</f>
        <v>Coronavirus concerns lead San Bernardino to declare emergency, eviction moratorium</v>
      </c>
      <c r="G111" s="38" t="s">
        <v>10</v>
      </c>
      <c r="H111" s="52"/>
      <c r="I111" s="52"/>
      <c r="J111" s="52"/>
      <c r="K111" s="52"/>
      <c r="L111" s="52"/>
      <c r="M111" s="52"/>
      <c r="N111" s="52"/>
      <c r="O111" s="52"/>
      <c r="P111" s="52"/>
      <c r="Q111" s="52"/>
      <c r="R111" s="52"/>
      <c r="S111" s="52"/>
      <c r="T111" s="52"/>
      <c r="U111" s="52"/>
      <c r="V111" s="52"/>
      <c r="W111" s="52"/>
      <c r="X111" s="52"/>
      <c r="Y111" s="52"/>
      <c r="Z111" s="52"/>
    </row>
    <row r="112" spans="1:26" ht="30">
      <c r="A112" s="50" t="s">
        <v>47</v>
      </c>
      <c r="B112" s="39" t="s">
        <v>187</v>
      </c>
      <c r="C112" s="51">
        <v>43928</v>
      </c>
      <c r="D112" s="30" t="s">
        <v>40</v>
      </c>
      <c r="E112" s="30" t="s">
        <v>188</v>
      </c>
      <c r="F112" s="42" t="str">
        <f>HYPERLINK("https://s3.amazonaws.com/fn-document-service/file-by-sha384/f4a04a3e1c3a5d322e4924fa738718d0465614175fde3cbda1c50f70e4f0bc353c0e07f61e9022686712c46e94c9852e#page=6","City Council Meeting Agenda")</f>
        <v>City Council Meeting Agenda</v>
      </c>
      <c r="G112" s="38" t="s">
        <v>10</v>
      </c>
      <c r="H112" s="52"/>
      <c r="I112" s="52"/>
      <c r="J112" s="52"/>
      <c r="K112" s="52"/>
      <c r="L112" s="52"/>
      <c r="M112" s="52"/>
      <c r="N112" s="52"/>
      <c r="O112" s="52"/>
      <c r="P112" s="52"/>
      <c r="Q112" s="52"/>
      <c r="R112" s="52"/>
      <c r="S112" s="52"/>
      <c r="T112" s="52"/>
      <c r="U112" s="52"/>
      <c r="V112" s="52"/>
      <c r="W112" s="52"/>
      <c r="X112" s="52"/>
      <c r="Y112" s="52"/>
      <c r="Z112" s="52"/>
    </row>
    <row r="113" spans="1:26" ht="75">
      <c r="A113" s="50" t="s">
        <v>220</v>
      </c>
      <c r="B113" s="39" t="s">
        <v>273</v>
      </c>
      <c r="C113" s="51">
        <v>43918</v>
      </c>
      <c r="D113" s="30" t="s">
        <v>49</v>
      </c>
      <c r="E113" s="30" t="s">
        <v>274</v>
      </c>
      <c r="F113" s="42" t="str">
        <f>HYPERLINK("https://www.sccgov.org/sites/phd/DiseaseInformation/novel-coronavirus/Pages/homeless-response.aspx","Addressing COVID-19 in the Homeless Community")</f>
        <v>Addressing COVID-19 in the Homeless Community</v>
      </c>
      <c r="G113" s="38" t="s">
        <v>10</v>
      </c>
      <c r="H113" s="52"/>
      <c r="I113" s="52"/>
      <c r="J113" s="52"/>
      <c r="K113" s="52"/>
      <c r="L113" s="52"/>
      <c r="M113" s="52"/>
      <c r="N113" s="52"/>
      <c r="O113" s="52"/>
      <c r="P113" s="52"/>
      <c r="Q113" s="52"/>
      <c r="R113" s="52"/>
      <c r="S113" s="52"/>
      <c r="T113" s="52"/>
      <c r="U113" s="52"/>
      <c r="V113" s="52"/>
      <c r="W113" s="52"/>
      <c r="X113" s="52"/>
      <c r="Y113" s="52"/>
      <c r="Z113" s="52"/>
    </row>
    <row r="114" spans="1:26" ht="45.75" customHeight="1">
      <c r="A114" s="50" t="s">
        <v>220</v>
      </c>
      <c r="B114" s="39" t="s">
        <v>273</v>
      </c>
      <c r="C114" s="51">
        <v>43915</v>
      </c>
      <c r="D114" s="30" t="s">
        <v>13</v>
      </c>
      <c r="E114" s="30" t="s">
        <v>275</v>
      </c>
      <c r="F114" s="42" t="str">
        <f>HYPERLINK("https://www.mv-voice.com/news/2020/03/25/emergency-funds-for-local-residents-out-of-work-where-to-go-and-how-to-apply","Emergency funds for local residents out of work: Where to go and how to apply")</f>
        <v>Emergency funds for local residents out of work: Where to go and how to apply</v>
      </c>
      <c r="G114" s="38" t="s">
        <v>10</v>
      </c>
      <c r="H114" s="52"/>
      <c r="I114" s="52"/>
      <c r="J114" s="52"/>
      <c r="K114" s="52"/>
      <c r="L114" s="52"/>
      <c r="M114" s="52"/>
      <c r="N114" s="52"/>
      <c r="O114" s="52"/>
      <c r="P114" s="52"/>
      <c r="Q114" s="52"/>
      <c r="R114" s="52"/>
      <c r="S114" s="52"/>
      <c r="T114" s="52"/>
      <c r="U114" s="52"/>
      <c r="V114" s="52"/>
      <c r="W114" s="52"/>
      <c r="X114" s="52"/>
      <c r="Y114" s="52"/>
      <c r="Z114" s="52"/>
    </row>
    <row r="115" spans="1:26" ht="105">
      <c r="A115" s="50" t="s">
        <v>47</v>
      </c>
      <c r="B115" s="39" t="s">
        <v>189</v>
      </c>
      <c r="C115" s="51">
        <v>43923</v>
      </c>
      <c r="D115" s="30" t="s">
        <v>49</v>
      </c>
      <c r="E115" s="30" t="s">
        <v>190</v>
      </c>
      <c r="F115" s="42" t="str">
        <f>HYPERLINK("https://www.sandiego.gov/coronavirus","Protecting the health of all San Diegans is our top priority. ")</f>
        <v xml:space="preserve">Protecting the health of all San Diegans is our top priority. </v>
      </c>
      <c r="G115" s="38" t="s">
        <v>10</v>
      </c>
      <c r="H115" s="52"/>
      <c r="I115" s="52"/>
      <c r="J115" s="52"/>
      <c r="K115" s="52"/>
      <c r="L115" s="52"/>
      <c r="M115" s="52"/>
      <c r="N115" s="52"/>
      <c r="O115" s="52"/>
      <c r="P115" s="52"/>
      <c r="Q115" s="52"/>
      <c r="R115" s="52"/>
      <c r="S115" s="52"/>
      <c r="T115" s="52"/>
      <c r="U115" s="52"/>
      <c r="V115" s="52"/>
      <c r="W115" s="52"/>
      <c r="X115" s="52"/>
      <c r="Y115" s="52"/>
      <c r="Z115" s="52"/>
    </row>
    <row r="116" spans="1:26" ht="90">
      <c r="A116" s="50" t="s">
        <v>47</v>
      </c>
      <c r="B116" s="39" t="s">
        <v>189</v>
      </c>
      <c r="C116" s="51">
        <v>43944</v>
      </c>
      <c r="D116" s="30" t="s">
        <v>49</v>
      </c>
      <c r="E116" s="30" t="s">
        <v>1014</v>
      </c>
      <c r="F116" s="43" t="s">
        <v>1015</v>
      </c>
      <c r="G116" s="38" t="s">
        <v>446</v>
      </c>
      <c r="H116" s="52"/>
      <c r="I116" s="52"/>
      <c r="J116" s="52"/>
      <c r="K116" s="52"/>
      <c r="L116" s="52"/>
      <c r="M116" s="52"/>
      <c r="N116" s="52"/>
      <c r="O116" s="52"/>
      <c r="P116" s="52"/>
      <c r="Q116" s="52"/>
      <c r="R116" s="52"/>
      <c r="S116" s="52"/>
      <c r="T116" s="52"/>
      <c r="U116" s="52"/>
      <c r="V116" s="52"/>
      <c r="W116" s="52"/>
      <c r="X116" s="52"/>
      <c r="Y116" s="52"/>
      <c r="Z116" s="52"/>
    </row>
    <row r="117" spans="1:26" ht="80.25" customHeight="1">
      <c r="A117" s="50" t="s">
        <v>47</v>
      </c>
      <c r="B117" s="39" t="s">
        <v>189</v>
      </c>
      <c r="C117" s="51">
        <v>43985</v>
      </c>
      <c r="D117" s="30" t="s">
        <v>13</v>
      </c>
      <c r="E117" s="30" t="s">
        <v>1062</v>
      </c>
      <c r="F117" s="43" t="s">
        <v>1063</v>
      </c>
      <c r="G117" s="38" t="s">
        <v>10</v>
      </c>
      <c r="H117" s="52"/>
      <c r="I117" s="52"/>
      <c r="J117" s="52"/>
      <c r="K117" s="52"/>
      <c r="L117" s="52"/>
      <c r="M117" s="52"/>
      <c r="N117" s="52"/>
      <c r="O117" s="52"/>
      <c r="P117" s="52"/>
      <c r="Q117" s="52"/>
      <c r="R117" s="52"/>
      <c r="S117" s="52"/>
      <c r="T117" s="52"/>
      <c r="U117" s="52"/>
      <c r="V117" s="52"/>
      <c r="W117" s="52"/>
      <c r="X117" s="52"/>
      <c r="Y117" s="52"/>
      <c r="Z117" s="52"/>
    </row>
    <row r="118" spans="1:26" ht="45">
      <c r="A118" s="50" t="s">
        <v>47</v>
      </c>
      <c r="B118" s="39" t="s">
        <v>191</v>
      </c>
      <c r="C118" s="51">
        <v>43914</v>
      </c>
      <c r="D118" s="30" t="s">
        <v>19</v>
      </c>
      <c r="E118" s="30" t="s">
        <v>192</v>
      </c>
      <c r="F118" s="42" t="str">
        <f>HYPERLINK("https://www.sandiegouniontribune.com/news/politics/story/2020-03-24/san-diego-county-approves-moratorium-on-residential-and-commercial-evictions-for-those-impacted-by-covid-19","San Diego County approves moratorium on residential, commercial evictions for people affected by COVID 19")</f>
        <v>San Diego County approves moratorium on residential, commercial evictions for people affected by COVID 19</v>
      </c>
      <c r="G118" s="38" t="s">
        <v>10</v>
      </c>
      <c r="H118" s="52"/>
      <c r="I118" s="52"/>
      <c r="J118" s="52"/>
      <c r="K118" s="52"/>
      <c r="L118" s="52"/>
      <c r="M118" s="52"/>
      <c r="N118" s="52"/>
      <c r="O118" s="52"/>
      <c r="P118" s="52"/>
      <c r="Q118" s="52"/>
      <c r="R118" s="52"/>
      <c r="S118" s="52"/>
      <c r="T118" s="52"/>
      <c r="U118" s="52"/>
      <c r="V118" s="52"/>
      <c r="W118" s="52"/>
      <c r="X118" s="52"/>
      <c r="Y118" s="52"/>
      <c r="Z118" s="52"/>
    </row>
    <row r="119" spans="1:26" ht="61.5" customHeight="1">
      <c r="A119" s="50" t="s">
        <v>47</v>
      </c>
      <c r="B119" s="39" t="s">
        <v>191</v>
      </c>
      <c r="C119" s="51"/>
      <c r="D119" s="30" t="s">
        <v>13</v>
      </c>
      <c r="E119" s="30" t="s">
        <v>1290</v>
      </c>
      <c r="F119" s="43" t="s">
        <v>1291</v>
      </c>
      <c r="G119" s="38" t="s">
        <v>10</v>
      </c>
      <c r="H119" s="52"/>
      <c r="I119" s="52"/>
      <c r="J119" s="52"/>
      <c r="K119" s="52"/>
      <c r="L119" s="52"/>
      <c r="M119" s="52"/>
      <c r="N119" s="52"/>
      <c r="O119" s="52"/>
      <c r="P119" s="52"/>
      <c r="Q119" s="52"/>
      <c r="R119" s="52"/>
      <c r="S119" s="52"/>
      <c r="T119" s="52"/>
      <c r="U119" s="52"/>
      <c r="V119" s="52"/>
      <c r="W119" s="52"/>
      <c r="X119" s="52"/>
      <c r="Y119" s="52"/>
      <c r="Z119" s="52"/>
    </row>
    <row r="120" spans="1:26" ht="60">
      <c r="A120" s="50" t="s">
        <v>47</v>
      </c>
      <c r="B120" s="39" t="s">
        <v>193</v>
      </c>
      <c r="C120" s="51">
        <v>43949</v>
      </c>
      <c r="D120" s="51" t="s">
        <v>19</v>
      </c>
      <c r="E120" s="30" t="s">
        <v>194</v>
      </c>
      <c r="F120" s="43" t="str">
        <f>HYPERLINK("https://s3.amazonaws.com/fn-document-service/file-by-sha384/772fde070f1580d2af1aa73eca0ccf3e81323479cb7ce4b9de4b0df93c7ea0dc890a0a34bc2f0a159adfc269a4f1f954#page=20","San Francisco Mayor Declares Moratorium on Coronavirus-Related Evictions")</f>
        <v>San Francisco Mayor Declares Moratorium on Coronavirus-Related Evictions</v>
      </c>
      <c r="G120" s="38" t="s">
        <v>10</v>
      </c>
      <c r="H120" s="52"/>
      <c r="I120" s="52"/>
      <c r="J120" s="52"/>
      <c r="K120" s="52"/>
      <c r="L120" s="52"/>
      <c r="M120" s="52"/>
      <c r="N120" s="52"/>
      <c r="O120" s="52"/>
      <c r="P120" s="52"/>
      <c r="Q120" s="52"/>
      <c r="R120" s="52"/>
      <c r="S120" s="52"/>
      <c r="T120" s="52"/>
      <c r="U120" s="52"/>
      <c r="V120" s="52"/>
      <c r="W120" s="52"/>
      <c r="X120" s="52"/>
      <c r="Y120" s="52"/>
      <c r="Z120" s="52"/>
    </row>
    <row r="121" spans="1:26" ht="60">
      <c r="A121" s="50" t="s">
        <v>47</v>
      </c>
      <c r="B121" s="39" t="s">
        <v>193</v>
      </c>
      <c r="C121" s="51">
        <v>43970</v>
      </c>
      <c r="D121" s="51" t="s">
        <v>19</v>
      </c>
      <c r="E121" s="30" t="s">
        <v>195</v>
      </c>
      <c r="F121" s="43" t="s">
        <v>68</v>
      </c>
      <c r="G121" s="38" t="s">
        <v>17</v>
      </c>
      <c r="H121" s="52"/>
      <c r="I121" s="52"/>
      <c r="J121" s="52"/>
      <c r="K121" s="52"/>
      <c r="L121" s="52"/>
      <c r="M121" s="52"/>
      <c r="N121" s="52"/>
      <c r="O121" s="52"/>
      <c r="P121" s="52"/>
      <c r="Q121" s="52"/>
      <c r="R121" s="52"/>
      <c r="S121" s="52"/>
      <c r="T121" s="52"/>
      <c r="U121" s="52"/>
      <c r="V121" s="52"/>
      <c r="W121" s="52"/>
      <c r="X121" s="52"/>
      <c r="Y121" s="52"/>
      <c r="Z121" s="52"/>
    </row>
    <row r="122" spans="1:26" ht="30">
      <c r="A122" s="50" t="s">
        <v>47</v>
      </c>
      <c r="B122" s="39" t="s">
        <v>193</v>
      </c>
      <c r="C122" s="51">
        <v>43913</v>
      </c>
      <c r="D122" s="30" t="s">
        <v>49</v>
      </c>
      <c r="E122" s="30" t="s">
        <v>196</v>
      </c>
      <c r="F122" s="43" t="str">
        <f>HYPERLINK("https://www.nbcbayarea.com/news/local/san-francisco/san-francisco-mayor-declares-moratorium-on-coronavirus-related-evictions/2254382/","San Francisco Mayor Declares Moratorium on Coronavirus-Related Evictions")</f>
        <v>San Francisco Mayor Declares Moratorium on Coronavirus-Related Evictions</v>
      </c>
      <c r="G122" s="38" t="s">
        <v>10</v>
      </c>
      <c r="H122" s="52"/>
      <c r="I122" s="52"/>
      <c r="J122" s="52"/>
      <c r="K122" s="52"/>
      <c r="L122" s="52"/>
      <c r="M122" s="52"/>
      <c r="N122" s="52"/>
      <c r="O122" s="52"/>
      <c r="P122" s="52"/>
      <c r="Q122" s="52"/>
      <c r="R122" s="52"/>
      <c r="S122" s="52"/>
      <c r="T122" s="52"/>
      <c r="U122" s="52"/>
      <c r="V122" s="52"/>
      <c r="W122" s="52"/>
      <c r="X122" s="52"/>
      <c r="Y122" s="52"/>
      <c r="Z122" s="52"/>
    </row>
    <row r="123" spans="1:26" ht="30">
      <c r="A123" s="50" t="s">
        <v>47</v>
      </c>
      <c r="B123" s="39" t="s">
        <v>193</v>
      </c>
      <c r="C123" s="51">
        <v>43942</v>
      </c>
      <c r="D123" s="30" t="s">
        <v>13</v>
      </c>
      <c r="E123" s="30" t="s">
        <v>997</v>
      </c>
      <c r="F123" s="43" t="s">
        <v>68</v>
      </c>
      <c r="G123" s="38" t="s">
        <v>17</v>
      </c>
      <c r="H123" s="52"/>
      <c r="I123" s="52"/>
      <c r="J123" s="52"/>
      <c r="K123" s="52"/>
      <c r="L123" s="52"/>
      <c r="M123" s="52"/>
      <c r="N123" s="52"/>
      <c r="O123" s="52"/>
      <c r="P123" s="52"/>
      <c r="Q123" s="52"/>
      <c r="R123" s="52"/>
      <c r="S123" s="52"/>
      <c r="T123" s="52"/>
      <c r="U123" s="52"/>
      <c r="V123" s="52"/>
      <c r="W123" s="52"/>
      <c r="X123" s="52"/>
      <c r="Y123" s="52"/>
      <c r="Z123" s="52"/>
    </row>
    <row r="124" spans="1:26" ht="45">
      <c r="A124" s="50" t="s">
        <v>47</v>
      </c>
      <c r="B124" s="39" t="s">
        <v>193</v>
      </c>
      <c r="C124" s="51">
        <v>43901</v>
      </c>
      <c r="D124" s="30" t="s">
        <v>8</v>
      </c>
      <c r="E124" s="30" t="s">
        <v>197</v>
      </c>
      <c r="F124" s="43" t="str">
        <f>HYPERLINK("https://theappeal.org/coronavirus-san-francisco-reduce-jail-population/","San Francisco Officials Push to Reduce Jail Population to Prevent Coronavirus Outbreak")</f>
        <v>San Francisco Officials Push to Reduce Jail Population to Prevent Coronavirus Outbreak</v>
      </c>
      <c r="G124" s="38" t="s">
        <v>10</v>
      </c>
      <c r="H124" s="52"/>
      <c r="I124" s="52"/>
      <c r="J124" s="52"/>
      <c r="K124" s="52"/>
      <c r="L124" s="52"/>
      <c r="M124" s="52"/>
      <c r="N124" s="52"/>
      <c r="O124" s="52"/>
      <c r="P124" s="52"/>
      <c r="Q124" s="52"/>
      <c r="R124" s="52"/>
      <c r="S124" s="52"/>
      <c r="T124" s="52"/>
      <c r="U124" s="52"/>
      <c r="V124" s="52"/>
      <c r="W124" s="52"/>
      <c r="X124" s="52"/>
      <c r="Y124" s="52"/>
      <c r="Z124" s="52"/>
    </row>
    <row r="125" spans="1:26" ht="60">
      <c r="A125" s="50" t="s">
        <v>47</v>
      </c>
      <c r="B125" s="39" t="s">
        <v>193</v>
      </c>
      <c r="C125" s="51">
        <v>43958</v>
      </c>
      <c r="D125" s="30" t="s">
        <v>8</v>
      </c>
      <c r="E125" s="30" t="s">
        <v>1017</v>
      </c>
      <c r="F125" s="43" t="s">
        <v>1016</v>
      </c>
      <c r="G125" s="38" t="s">
        <v>10</v>
      </c>
      <c r="H125" s="52"/>
      <c r="I125" s="52"/>
      <c r="J125" s="52"/>
      <c r="K125" s="52"/>
      <c r="L125" s="52"/>
      <c r="M125" s="52"/>
      <c r="N125" s="52"/>
      <c r="O125" s="52"/>
      <c r="P125" s="52"/>
      <c r="Q125" s="52"/>
      <c r="R125" s="52"/>
      <c r="S125" s="52"/>
      <c r="T125" s="52"/>
      <c r="U125" s="52"/>
      <c r="V125" s="52"/>
      <c r="W125" s="52"/>
      <c r="X125" s="52"/>
      <c r="Y125" s="52"/>
      <c r="Z125" s="52"/>
    </row>
    <row r="126" spans="1:26" ht="30">
      <c r="A126" s="50" t="s">
        <v>47</v>
      </c>
      <c r="B126" s="39" t="s">
        <v>198</v>
      </c>
      <c r="C126" s="51">
        <v>43914</v>
      </c>
      <c r="D126" s="30" t="s">
        <v>19</v>
      </c>
      <c r="E126" s="30" t="s">
        <v>199</v>
      </c>
      <c r="F126" s="42" t="str">
        <f>HYPERLINK("https://s3.amazonaws.com/fn-document-service/file-by-sha384/3c52dda0d6227a5159f5669b9c99b83dd84acc89c7629edd095cde52042b7622fd338e6525df9a0803b0e8bdc00c0a10#page=5","Board of Supervisors Agenda")</f>
        <v>Board of Supervisors Agenda</v>
      </c>
      <c r="G126" s="38" t="s">
        <v>10</v>
      </c>
      <c r="H126" s="52"/>
      <c r="I126" s="52"/>
      <c r="J126" s="52"/>
      <c r="K126" s="52"/>
      <c r="L126" s="52"/>
      <c r="M126" s="52"/>
      <c r="N126" s="52"/>
      <c r="O126" s="52"/>
      <c r="P126" s="52"/>
      <c r="Q126" s="52"/>
      <c r="R126" s="52"/>
      <c r="S126" s="52"/>
      <c r="T126" s="52"/>
      <c r="U126" s="52"/>
      <c r="V126" s="52"/>
      <c r="W126" s="52"/>
      <c r="X126" s="52"/>
      <c r="Y126" s="52"/>
      <c r="Z126" s="52"/>
    </row>
    <row r="127" spans="1:26" ht="165">
      <c r="A127" s="50" t="s">
        <v>47</v>
      </c>
      <c r="B127" s="39" t="s">
        <v>200</v>
      </c>
      <c r="C127" s="51">
        <v>43970</v>
      </c>
      <c r="D127" s="51" t="s">
        <v>19</v>
      </c>
      <c r="E127" s="30" t="s">
        <v>201</v>
      </c>
      <c r="F127" s="43" t="s">
        <v>93</v>
      </c>
      <c r="G127" s="38" t="s">
        <v>10</v>
      </c>
      <c r="H127" s="52"/>
      <c r="I127" s="52"/>
      <c r="J127" s="52"/>
      <c r="K127" s="52"/>
      <c r="L127" s="52"/>
      <c r="M127" s="52"/>
      <c r="N127" s="52"/>
      <c r="O127" s="52"/>
      <c r="P127" s="52"/>
      <c r="Q127" s="52"/>
      <c r="R127" s="52"/>
      <c r="S127" s="52"/>
      <c r="T127" s="52"/>
      <c r="U127" s="52"/>
      <c r="V127" s="52"/>
      <c r="W127" s="52"/>
      <c r="X127" s="52"/>
      <c r="Y127" s="52"/>
      <c r="Z127" s="52"/>
    </row>
    <row r="128" spans="1:26" ht="90">
      <c r="A128" s="50" t="s">
        <v>47</v>
      </c>
      <c r="B128" s="39" t="s">
        <v>200</v>
      </c>
      <c r="C128" s="51">
        <v>43914</v>
      </c>
      <c r="D128" s="30" t="s">
        <v>49</v>
      </c>
      <c r="E128" s="30" t="s">
        <v>202</v>
      </c>
      <c r="F128" s="42" t="str">
        <f>HYPERLINK("https://s3.amazonaws.com/fn-document-service/file-by-sha384/5f77ab1ab26230d7dca1a2a2645fc63e91d35078013b25c6fc556b00072858d735d2496efa4a8bec9b23384c7c0e4ee2#page=21","City Council Meeting Agenda")</f>
        <v>City Council Meeting Agenda</v>
      </c>
      <c r="G128" s="38" t="s">
        <v>10</v>
      </c>
      <c r="H128" s="52"/>
      <c r="I128" s="52"/>
      <c r="J128" s="52"/>
      <c r="K128" s="52"/>
      <c r="L128" s="52"/>
      <c r="M128" s="52"/>
      <c r="N128" s="52"/>
      <c r="O128" s="52"/>
      <c r="P128" s="52"/>
      <c r="Q128" s="52"/>
      <c r="R128" s="52"/>
      <c r="S128" s="52"/>
      <c r="T128" s="52"/>
      <c r="U128" s="52"/>
      <c r="V128" s="52"/>
      <c r="W128" s="52"/>
      <c r="X128" s="52"/>
      <c r="Y128" s="52"/>
      <c r="Z128" s="52"/>
    </row>
    <row r="129" spans="1:26" ht="105">
      <c r="A129" s="50" t="s">
        <v>47</v>
      </c>
      <c r="B129" s="39" t="s">
        <v>200</v>
      </c>
      <c r="C129" s="51">
        <v>43914</v>
      </c>
      <c r="D129" s="30" t="s">
        <v>13</v>
      </c>
      <c r="E129" s="30" t="s">
        <v>203</v>
      </c>
      <c r="F129" s="42" t="str">
        <f>HYPERLINK("https://s3.amazonaws.com/fn-document-service/file-by-sha384/5f77ab1ab26230d7dca1a2a2645fc63e91d35078013b25c6fc556b00072858d735d2496efa4a8bec9b23384c7c0e4ee2#page=21","City Council Meeting Agenda")</f>
        <v>City Council Meeting Agenda</v>
      </c>
      <c r="G129" s="38" t="s">
        <v>10</v>
      </c>
      <c r="H129" s="52"/>
      <c r="I129" s="52"/>
      <c r="J129" s="52"/>
      <c r="K129" s="52"/>
      <c r="L129" s="52"/>
      <c r="M129" s="52"/>
      <c r="N129" s="52"/>
      <c r="O129" s="52"/>
      <c r="P129" s="52"/>
      <c r="Q129" s="52"/>
      <c r="R129" s="52"/>
      <c r="S129" s="52"/>
      <c r="T129" s="52"/>
      <c r="U129" s="52"/>
      <c r="V129" s="52"/>
      <c r="W129" s="52"/>
      <c r="X129" s="52"/>
      <c r="Y129" s="52"/>
      <c r="Z129" s="52"/>
    </row>
    <row r="130" spans="1:26" ht="60" customHeight="1">
      <c r="A130" s="50" t="s">
        <v>47</v>
      </c>
      <c r="B130" s="39" t="s">
        <v>200</v>
      </c>
      <c r="C130" s="51">
        <v>43963</v>
      </c>
      <c r="D130" s="30" t="s">
        <v>13</v>
      </c>
      <c r="E130" s="30" t="s">
        <v>204</v>
      </c>
      <c r="F130" s="43" t="str">
        <f>HYPERLINK("https://s3.amazonaws.com/fn-document-service/file-by-sha384/f6a70fd99770feae7f7d9b1dc55c1eb920d315e776d80d6a126643e50b7f7d2421fcb6a222137dc97425bb47214e9994#page=6","City Council Meeting Agenda")</f>
        <v>City Council Meeting Agenda</v>
      </c>
      <c r="G130" s="38" t="s">
        <v>17</v>
      </c>
      <c r="H130" s="52"/>
      <c r="I130" s="52"/>
      <c r="J130" s="52"/>
      <c r="K130" s="52"/>
      <c r="L130" s="52"/>
      <c r="M130" s="52"/>
      <c r="N130" s="52"/>
      <c r="O130" s="52"/>
      <c r="P130" s="52"/>
      <c r="Q130" s="52"/>
      <c r="R130" s="52"/>
      <c r="S130" s="52"/>
      <c r="T130" s="52"/>
      <c r="U130" s="52"/>
      <c r="V130" s="52"/>
      <c r="W130" s="52"/>
      <c r="X130" s="52"/>
      <c r="Y130" s="52"/>
      <c r="Z130" s="52"/>
    </row>
    <row r="131" spans="1:26" ht="60">
      <c r="A131" s="50" t="s">
        <v>220</v>
      </c>
      <c r="B131" s="39" t="s">
        <v>200</v>
      </c>
      <c r="C131" s="51">
        <v>43979</v>
      </c>
      <c r="D131" s="30" t="s">
        <v>154</v>
      </c>
      <c r="E131" s="30" t="s">
        <v>276</v>
      </c>
      <c r="F131" s="43" t="s">
        <v>277</v>
      </c>
      <c r="G131" s="38" t="s">
        <v>10</v>
      </c>
      <c r="H131" s="52"/>
      <c r="I131" s="52"/>
      <c r="J131" s="52"/>
      <c r="K131" s="52"/>
      <c r="L131" s="52"/>
      <c r="M131" s="52"/>
      <c r="N131" s="52"/>
      <c r="O131" s="52"/>
      <c r="P131" s="52"/>
      <c r="Q131" s="52"/>
      <c r="R131" s="52"/>
      <c r="S131" s="52"/>
      <c r="T131" s="52"/>
      <c r="U131" s="52"/>
      <c r="V131" s="52"/>
      <c r="W131" s="52"/>
      <c r="X131" s="52"/>
      <c r="Y131" s="52"/>
      <c r="Z131" s="52"/>
    </row>
    <row r="132" spans="1:26" ht="45">
      <c r="A132" s="50" t="s">
        <v>220</v>
      </c>
      <c r="B132" s="39" t="s">
        <v>278</v>
      </c>
      <c r="C132" s="51">
        <v>43913</v>
      </c>
      <c r="D132" s="30" t="s">
        <v>19</v>
      </c>
      <c r="E132" s="30" t="s">
        <v>279</v>
      </c>
      <c r="F132" s="42" t="str">
        <f>HYPERLINK("https://s3.amazonaws.com/fn-document-service/file-by-sha384/ef5a075e785c95be7bc023c6e9d09a62d027296167b9596a45b4766d116d7fcf937addbcd7431055cae0e0029f947f2c#page=2","City Council Meeting Agenda")</f>
        <v>City Council Meeting Agenda</v>
      </c>
      <c r="G132" s="38" t="s">
        <v>10</v>
      </c>
      <c r="H132" s="52"/>
      <c r="I132" s="52"/>
      <c r="J132" s="52"/>
      <c r="K132" s="52"/>
      <c r="L132" s="52"/>
      <c r="M132" s="52"/>
      <c r="N132" s="52"/>
      <c r="O132" s="52"/>
      <c r="P132" s="52"/>
      <c r="Q132" s="52"/>
      <c r="R132" s="52"/>
      <c r="S132" s="52"/>
      <c r="T132" s="52"/>
      <c r="U132" s="52"/>
      <c r="V132" s="52"/>
      <c r="W132" s="52"/>
      <c r="X132" s="52"/>
      <c r="Y132" s="52"/>
      <c r="Z132" s="52"/>
    </row>
    <row r="133" spans="1:26" ht="45.75" customHeight="1">
      <c r="A133" s="50" t="s">
        <v>47</v>
      </c>
      <c r="B133" s="39" t="s">
        <v>205</v>
      </c>
      <c r="C133" s="51">
        <v>43928</v>
      </c>
      <c r="D133" s="30" t="s">
        <v>19</v>
      </c>
      <c r="E133" s="30" t="s">
        <v>206</v>
      </c>
      <c r="F133" s="42" t="str">
        <f>HYPERLINK("https://s3.amazonaws.com/fn-document-service/file-by-sha384/d5016915588dab9bbabadd10a57165287ee682ef2f3da40c2757ef0783f57781f3df31b985c6c98278af80064757e6fa#page=10","City Council Meeting Agenda")</f>
        <v>City Council Meeting Agenda</v>
      </c>
      <c r="G133" s="38" t="s">
        <v>10</v>
      </c>
      <c r="H133" s="52"/>
      <c r="I133" s="52"/>
      <c r="J133" s="52"/>
      <c r="K133" s="52"/>
      <c r="L133" s="52"/>
      <c r="M133" s="52"/>
      <c r="N133" s="52"/>
      <c r="O133" s="52"/>
      <c r="P133" s="52"/>
      <c r="Q133" s="52"/>
      <c r="R133" s="52"/>
      <c r="S133" s="52"/>
      <c r="T133" s="52"/>
      <c r="U133" s="52"/>
      <c r="V133" s="52"/>
      <c r="W133" s="52"/>
      <c r="X133" s="52"/>
      <c r="Y133" s="52"/>
      <c r="Z133" s="52"/>
    </row>
    <row r="134" spans="1:26" ht="45.75" customHeight="1">
      <c r="A134" s="50" t="s">
        <v>47</v>
      </c>
      <c r="B134" s="39" t="s">
        <v>1357</v>
      </c>
      <c r="C134" s="51">
        <v>44111</v>
      </c>
      <c r="D134" s="30" t="s">
        <v>13</v>
      </c>
      <c r="E134" s="30" t="s">
        <v>1358</v>
      </c>
      <c r="F134" s="43" t="s">
        <v>1333</v>
      </c>
      <c r="G134" s="38" t="s">
        <v>10</v>
      </c>
      <c r="H134" s="52"/>
      <c r="I134" s="52"/>
      <c r="J134" s="52"/>
      <c r="K134" s="52"/>
      <c r="L134" s="52"/>
      <c r="M134" s="52"/>
      <c r="N134" s="52"/>
      <c r="O134" s="52"/>
      <c r="P134" s="52"/>
      <c r="Q134" s="52"/>
      <c r="R134" s="52"/>
      <c r="S134" s="52"/>
      <c r="T134" s="52"/>
      <c r="U134" s="52"/>
      <c r="V134" s="52"/>
      <c r="W134" s="52"/>
      <c r="X134" s="52"/>
      <c r="Y134" s="52"/>
      <c r="Z134" s="52"/>
    </row>
    <row r="135" spans="1:26" ht="45">
      <c r="A135" s="50" t="s">
        <v>220</v>
      </c>
      <c r="B135" s="39" t="s">
        <v>207</v>
      </c>
      <c r="C135" s="51">
        <v>43912</v>
      </c>
      <c r="D135" s="51" t="s">
        <v>19</v>
      </c>
      <c r="E135" s="30" t="s">
        <v>280</v>
      </c>
      <c r="F135" s="42" t="s">
        <v>210</v>
      </c>
      <c r="G135" s="38" t="s">
        <v>10</v>
      </c>
      <c r="H135" s="52"/>
      <c r="I135" s="52"/>
      <c r="J135" s="52"/>
      <c r="K135" s="52"/>
      <c r="L135" s="52"/>
      <c r="M135" s="52"/>
      <c r="N135" s="52"/>
      <c r="O135" s="52"/>
      <c r="P135" s="52"/>
      <c r="Q135" s="52"/>
      <c r="R135" s="52"/>
      <c r="S135" s="52"/>
      <c r="T135" s="52"/>
      <c r="U135" s="52"/>
      <c r="V135" s="52"/>
      <c r="W135" s="52"/>
      <c r="X135" s="52"/>
      <c r="Y135" s="52"/>
      <c r="Z135" s="52"/>
    </row>
    <row r="136" spans="1:26" ht="45">
      <c r="A136" s="50" t="s">
        <v>47</v>
      </c>
      <c r="B136" s="39" t="s">
        <v>207</v>
      </c>
      <c r="C136" s="51">
        <v>43977</v>
      </c>
      <c r="D136" s="30" t="s">
        <v>19</v>
      </c>
      <c r="E136" s="30" t="s">
        <v>208</v>
      </c>
      <c r="F136" s="43" t="s">
        <v>55</v>
      </c>
      <c r="G136" s="38" t="s">
        <v>10</v>
      </c>
      <c r="H136" s="52"/>
      <c r="I136" s="52"/>
      <c r="J136" s="52"/>
      <c r="K136" s="52"/>
      <c r="L136" s="52"/>
      <c r="M136" s="52"/>
      <c r="N136" s="52"/>
      <c r="O136" s="52"/>
      <c r="P136" s="52"/>
      <c r="Q136" s="52"/>
      <c r="R136" s="52"/>
      <c r="S136" s="52"/>
      <c r="T136" s="52"/>
      <c r="U136" s="52"/>
      <c r="V136" s="52"/>
      <c r="W136" s="52"/>
      <c r="X136" s="52"/>
      <c r="Y136" s="52"/>
      <c r="Z136" s="52"/>
    </row>
    <row r="137" spans="1:26" ht="45">
      <c r="A137" s="50" t="s">
        <v>47</v>
      </c>
      <c r="B137" s="39" t="s">
        <v>207</v>
      </c>
      <c r="C137" s="51">
        <v>43912</v>
      </c>
      <c r="D137" s="30" t="s">
        <v>40</v>
      </c>
      <c r="E137" s="30" t="s">
        <v>209</v>
      </c>
      <c r="F137" s="42" t="s">
        <v>210</v>
      </c>
      <c r="G137" s="38" t="s">
        <v>10</v>
      </c>
      <c r="H137" s="52"/>
      <c r="I137" s="52"/>
      <c r="J137" s="52"/>
      <c r="K137" s="52"/>
      <c r="L137" s="52"/>
      <c r="M137" s="52"/>
      <c r="N137" s="52"/>
      <c r="O137" s="52"/>
      <c r="P137" s="52"/>
      <c r="Q137" s="52"/>
      <c r="R137" s="52"/>
      <c r="S137" s="52"/>
      <c r="T137" s="52"/>
      <c r="U137" s="52"/>
      <c r="V137" s="52"/>
      <c r="W137" s="52"/>
      <c r="X137" s="52"/>
      <c r="Y137" s="52"/>
      <c r="Z137" s="52"/>
    </row>
    <row r="138" spans="1:26" ht="63.75" customHeight="1">
      <c r="A138" s="50" t="s">
        <v>47</v>
      </c>
      <c r="B138" s="39" t="s">
        <v>211</v>
      </c>
      <c r="C138" s="51">
        <v>43956</v>
      </c>
      <c r="D138" s="30" t="s">
        <v>13</v>
      </c>
      <c r="E138" s="30" t="s">
        <v>212</v>
      </c>
      <c r="F138" s="53" t="s">
        <v>213</v>
      </c>
      <c r="G138" s="38" t="s">
        <v>10</v>
      </c>
      <c r="H138" s="52"/>
      <c r="I138" s="52"/>
      <c r="J138" s="52"/>
      <c r="K138" s="52"/>
      <c r="L138" s="52"/>
      <c r="M138" s="52"/>
      <c r="N138" s="52"/>
      <c r="O138" s="52"/>
      <c r="P138" s="52"/>
      <c r="Q138" s="52"/>
      <c r="R138" s="52"/>
      <c r="S138" s="52"/>
      <c r="T138" s="52"/>
      <c r="U138" s="52"/>
      <c r="V138" s="52"/>
      <c r="W138" s="52"/>
      <c r="X138" s="52"/>
      <c r="Y138" s="52"/>
      <c r="Z138" s="52"/>
    </row>
    <row r="139" spans="1:26" ht="45">
      <c r="A139" s="50" t="s">
        <v>47</v>
      </c>
      <c r="B139" s="39" t="s">
        <v>214</v>
      </c>
      <c r="C139" s="51">
        <v>43956</v>
      </c>
      <c r="D139" s="30" t="s">
        <v>13</v>
      </c>
      <c r="E139" s="30" t="s">
        <v>215</v>
      </c>
      <c r="F139" s="43" t="s">
        <v>68</v>
      </c>
      <c r="G139" s="38" t="s">
        <v>10</v>
      </c>
      <c r="H139" s="52"/>
      <c r="I139" s="52"/>
      <c r="J139" s="52"/>
      <c r="K139" s="52"/>
      <c r="L139" s="52"/>
      <c r="M139" s="52"/>
      <c r="N139" s="52"/>
      <c r="O139" s="52"/>
      <c r="P139" s="52"/>
      <c r="Q139" s="52"/>
      <c r="R139" s="52"/>
      <c r="S139" s="52"/>
      <c r="T139" s="52"/>
      <c r="U139" s="52"/>
      <c r="V139" s="52"/>
      <c r="W139" s="52"/>
      <c r="X139" s="52"/>
      <c r="Y139" s="52"/>
      <c r="Z139" s="52"/>
    </row>
    <row r="140" spans="1:26" ht="30">
      <c r="A140" s="50" t="s">
        <v>47</v>
      </c>
      <c r="B140" s="39" t="s">
        <v>216</v>
      </c>
      <c r="C140" s="51">
        <v>43979</v>
      </c>
      <c r="D140" s="30" t="s">
        <v>19</v>
      </c>
      <c r="E140" s="30" t="s">
        <v>217</v>
      </c>
      <c r="F140" s="43" t="str">
        <f>HYPERLINK("https://s3.amazonaws.com/fn-document-service/file-by-sha384/487c0fb88c5596cd6ec5ad7c05da8fa7b0377097e841a45d5f812a8d2ea8919356db3b5e7a48f5466be7f50c0ceea137#page=9","City Council Agenda")</f>
        <v>City Council Agenda</v>
      </c>
      <c r="G140" s="38" t="s">
        <v>10</v>
      </c>
      <c r="H140" s="52"/>
      <c r="I140" s="52"/>
      <c r="J140" s="52"/>
      <c r="K140" s="52"/>
      <c r="L140" s="52"/>
      <c r="M140" s="52"/>
      <c r="N140" s="52"/>
      <c r="O140" s="52"/>
      <c r="P140" s="52"/>
      <c r="Q140" s="52"/>
      <c r="R140" s="52"/>
      <c r="S140" s="52"/>
      <c r="T140" s="52"/>
      <c r="U140" s="52"/>
      <c r="V140" s="52"/>
      <c r="W140" s="52"/>
      <c r="X140" s="52"/>
      <c r="Y140" s="52"/>
      <c r="Z140" s="52"/>
    </row>
    <row r="141" spans="1:26" ht="45">
      <c r="A141" s="50" t="s">
        <v>47</v>
      </c>
      <c r="B141" s="39" t="s">
        <v>216</v>
      </c>
      <c r="C141" s="51">
        <v>44012</v>
      </c>
      <c r="D141" s="30" t="s">
        <v>13</v>
      </c>
      <c r="E141" s="30" t="s">
        <v>1145</v>
      </c>
      <c r="F141" s="43" t="s">
        <v>1144</v>
      </c>
      <c r="G141" s="38" t="s">
        <v>10</v>
      </c>
      <c r="H141" s="52"/>
      <c r="I141" s="52"/>
      <c r="J141" s="52"/>
      <c r="K141" s="52"/>
      <c r="L141" s="52"/>
      <c r="M141" s="52"/>
      <c r="N141" s="52"/>
      <c r="O141" s="52"/>
      <c r="P141" s="52"/>
      <c r="Q141" s="52"/>
      <c r="R141" s="52"/>
      <c r="S141" s="52"/>
      <c r="T141" s="52"/>
      <c r="U141" s="52"/>
      <c r="V141" s="52"/>
      <c r="W141" s="52"/>
      <c r="X141" s="52"/>
      <c r="Y141" s="52"/>
      <c r="Z141" s="52"/>
    </row>
    <row r="142" spans="1:26" ht="30">
      <c r="A142" s="50" t="s">
        <v>47</v>
      </c>
      <c r="B142" s="39" t="s">
        <v>218</v>
      </c>
      <c r="C142" s="51">
        <v>43963</v>
      </c>
      <c r="D142" s="30" t="s">
        <v>19</v>
      </c>
      <c r="E142" s="30" t="s">
        <v>219</v>
      </c>
      <c r="F142" s="43" t="str">
        <f>HYPERLINK("https://s3.amazonaws.com/fn-document-service/file-by-sha384/de08d9addd89b326583dc5b82c7afde6acf089f78fc73dd82dd5a230e3c86950529d183262ba973f21e1669038cb6875#page=5","City Council Agenda")</f>
        <v>City Council Agenda</v>
      </c>
      <c r="G142" s="38" t="s">
        <v>10</v>
      </c>
      <c r="H142" s="52"/>
      <c r="I142" s="52"/>
      <c r="J142" s="52"/>
      <c r="K142" s="52"/>
      <c r="L142" s="52"/>
      <c r="M142" s="52"/>
      <c r="N142" s="52"/>
      <c r="O142" s="52"/>
      <c r="P142" s="52"/>
      <c r="Q142" s="52"/>
      <c r="R142" s="52"/>
      <c r="S142" s="52"/>
      <c r="T142" s="52"/>
      <c r="U142" s="52"/>
      <c r="V142" s="52"/>
      <c r="W142" s="52"/>
      <c r="X142" s="52"/>
      <c r="Y142" s="52"/>
      <c r="Z142" s="52"/>
    </row>
    <row r="143" spans="1:26" ht="105">
      <c r="A143" s="50" t="s">
        <v>220</v>
      </c>
      <c r="B143" s="39" t="s">
        <v>221</v>
      </c>
      <c r="C143" s="51">
        <v>43918</v>
      </c>
      <c r="D143" s="30" t="s">
        <v>49</v>
      </c>
      <c r="E143" s="30" t="s">
        <v>222</v>
      </c>
      <c r="F143" s="43" t="s">
        <v>223</v>
      </c>
      <c r="G143" s="38" t="s">
        <v>10</v>
      </c>
      <c r="H143" s="52"/>
      <c r="I143" s="52"/>
      <c r="J143" s="52"/>
      <c r="K143" s="52"/>
      <c r="L143" s="52"/>
      <c r="M143" s="52"/>
      <c r="N143" s="52"/>
      <c r="O143" s="52"/>
      <c r="P143" s="52"/>
      <c r="Q143" s="52"/>
      <c r="R143" s="52"/>
      <c r="S143" s="52"/>
      <c r="T143" s="52"/>
      <c r="U143" s="52"/>
      <c r="V143" s="52"/>
      <c r="W143" s="52"/>
      <c r="X143" s="52"/>
      <c r="Y143" s="52"/>
      <c r="Z143" s="52"/>
    </row>
    <row r="144" spans="1:26">
      <c r="A144" s="50" t="s">
        <v>47</v>
      </c>
      <c r="B144" s="39" t="s">
        <v>224</v>
      </c>
      <c r="C144" s="51">
        <v>43914</v>
      </c>
      <c r="D144" s="30" t="s">
        <v>19</v>
      </c>
      <c r="E144" s="30" t="s">
        <v>225</v>
      </c>
      <c r="F144" s="42" t="str">
        <f>HYPERLINK("https://s3.amazonaws.com/fn-document-service/file-by-sha384/b261e8438eb1c1b40da93f6393a57cdd507962040a16b5525a917623799585daa095ea21a4dcab676ec2eec0a37e5c52#page=5","City Council Agenda")</f>
        <v>City Council Agenda</v>
      </c>
      <c r="G144" s="38" t="s">
        <v>10</v>
      </c>
      <c r="H144" s="52"/>
      <c r="I144" s="52"/>
      <c r="J144" s="52"/>
      <c r="K144" s="52"/>
      <c r="L144" s="52"/>
      <c r="M144" s="52"/>
      <c r="N144" s="52"/>
      <c r="O144" s="52"/>
      <c r="P144" s="52"/>
      <c r="Q144" s="52"/>
      <c r="R144" s="52"/>
      <c r="S144" s="52"/>
      <c r="T144" s="52"/>
      <c r="U144" s="52"/>
      <c r="V144" s="52"/>
      <c r="W144" s="52"/>
      <c r="X144" s="52"/>
      <c r="Y144" s="52"/>
      <c r="Z144" s="52"/>
    </row>
    <row r="145" spans="1:26" ht="49.35" customHeight="1">
      <c r="A145" s="50" t="s">
        <v>47</v>
      </c>
      <c r="B145" s="39" t="s">
        <v>224</v>
      </c>
      <c r="C145" s="51">
        <v>44028</v>
      </c>
      <c r="D145" s="30" t="s">
        <v>13</v>
      </c>
      <c r="E145" s="30" t="s">
        <v>1146</v>
      </c>
      <c r="F145" s="43" t="s">
        <v>1147</v>
      </c>
      <c r="G145" s="38" t="s">
        <v>10</v>
      </c>
      <c r="H145" s="52"/>
      <c r="I145" s="52"/>
      <c r="J145" s="52"/>
      <c r="K145" s="52"/>
      <c r="L145" s="52"/>
      <c r="M145" s="52"/>
      <c r="N145" s="52"/>
      <c r="O145" s="52"/>
      <c r="P145" s="52"/>
      <c r="Q145" s="52"/>
      <c r="R145" s="52"/>
      <c r="S145" s="52"/>
      <c r="T145" s="52"/>
      <c r="U145" s="52"/>
      <c r="V145" s="52"/>
      <c r="W145" s="52"/>
      <c r="X145" s="52"/>
      <c r="Y145" s="52"/>
      <c r="Z145" s="52"/>
    </row>
    <row r="146" spans="1:26" ht="45">
      <c r="A146" s="50" t="s">
        <v>47</v>
      </c>
      <c r="B146" s="39" t="s">
        <v>226</v>
      </c>
      <c r="C146" s="51">
        <v>43956</v>
      </c>
      <c r="D146" s="30" t="s">
        <v>19</v>
      </c>
      <c r="E146" s="30" t="s">
        <v>227</v>
      </c>
      <c r="F146" s="43" t="str">
        <f>HYPERLINK("https://s3.amazonaws.com/fn-document-service/file-by-sha384/041cff59d8c123ae420447ce8b787d86a2d9b1ec983bd5acf8275bcf5b5f4e1d431aa7cb5fea48d1860c6ac7078a4eec#page=3","City Council Agenda")</f>
        <v>City Council Agenda</v>
      </c>
      <c r="G146" s="38" t="s">
        <v>10</v>
      </c>
      <c r="H146" s="52"/>
      <c r="I146" s="52"/>
      <c r="J146" s="52"/>
      <c r="K146" s="52"/>
      <c r="L146" s="52"/>
      <c r="M146" s="52"/>
      <c r="N146" s="52"/>
      <c r="O146" s="52"/>
      <c r="P146" s="52"/>
      <c r="Q146" s="52"/>
      <c r="R146" s="52"/>
      <c r="S146" s="52"/>
      <c r="T146" s="52"/>
      <c r="U146" s="52"/>
      <c r="V146" s="52"/>
      <c r="W146" s="52"/>
      <c r="X146" s="52"/>
      <c r="Y146" s="52"/>
      <c r="Z146" s="52"/>
    </row>
    <row r="147" spans="1:26" ht="45">
      <c r="A147" s="50" t="s">
        <v>47</v>
      </c>
      <c r="B147" s="39" t="s">
        <v>1087</v>
      </c>
      <c r="C147" s="51">
        <v>44013</v>
      </c>
      <c r="D147" s="30" t="s">
        <v>13</v>
      </c>
      <c r="E147" s="30" t="s">
        <v>1148</v>
      </c>
      <c r="F147" s="43" t="s">
        <v>1088</v>
      </c>
      <c r="G147" s="38" t="s">
        <v>10</v>
      </c>
      <c r="H147" s="52"/>
      <c r="I147" s="52"/>
      <c r="J147" s="52"/>
      <c r="K147" s="52"/>
      <c r="L147" s="52"/>
      <c r="M147" s="52"/>
      <c r="N147" s="52"/>
      <c r="O147" s="52"/>
      <c r="P147" s="52"/>
      <c r="Q147" s="52"/>
      <c r="R147" s="52"/>
      <c r="S147" s="52"/>
      <c r="T147" s="52"/>
      <c r="U147" s="52"/>
      <c r="V147" s="52"/>
      <c r="W147" s="52"/>
      <c r="X147" s="52"/>
      <c r="Y147" s="52"/>
      <c r="Z147" s="52"/>
    </row>
    <row r="148" spans="1:26" ht="30">
      <c r="A148" s="50" t="s">
        <v>47</v>
      </c>
      <c r="B148" s="39" t="s">
        <v>228</v>
      </c>
      <c r="C148" s="51">
        <v>43978</v>
      </c>
      <c r="D148" s="30" t="s">
        <v>19</v>
      </c>
      <c r="E148" s="30" t="s">
        <v>229</v>
      </c>
      <c r="F148" s="43" t="str">
        <f>HYPERLINK("https://s3.amazonaws.com/fn-document-service/file-by-sha384/321e1fc9817536c1cd427843dd7220e4e2d9f11ccfbfc718c918a945900283f198e4b06457ea5812d64982bb552fc912#page=3","City Council Agenda")</f>
        <v>City Council Agenda</v>
      </c>
      <c r="G148" s="38" t="s">
        <v>10</v>
      </c>
      <c r="H148" s="52"/>
      <c r="I148" s="52"/>
      <c r="J148" s="52"/>
      <c r="K148" s="52"/>
      <c r="L148" s="52"/>
      <c r="M148" s="52"/>
      <c r="N148" s="52"/>
      <c r="O148" s="52"/>
      <c r="P148" s="52"/>
      <c r="Q148" s="52"/>
      <c r="R148" s="52"/>
      <c r="S148" s="52"/>
      <c r="T148" s="52"/>
      <c r="U148" s="52"/>
      <c r="V148" s="52"/>
      <c r="W148" s="52"/>
      <c r="X148" s="52"/>
      <c r="Y148" s="52"/>
      <c r="Z148" s="52"/>
    </row>
    <row r="149" spans="1:26" ht="30">
      <c r="A149" s="50" t="s">
        <v>47</v>
      </c>
      <c r="B149" s="39" t="s">
        <v>230</v>
      </c>
      <c r="C149" s="51">
        <v>43914</v>
      </c>
      <c r="D149" s="30" t="s">
        <v>19</v>
      </c>
      <c r="E149" s="30" t="s">
        <v>231</v>
      </c>
      <c r="F149" s="42" t="str">
        <f>HYPERLINK("https://s3.amazonaws.com/fn-document-service/file-by-sha384/49007db1068b5fe5e3e15d763b59dd4badc3e5f7f330a738c01278da07681a88a2ee34aab4538d26105196708bd9f59b#page=2","Board of Supervisors Agenda")</f>
        <v>Board of Supervisors Agenda</v>
      </c>
      <c r="G149" s="38" t="s">
        <v>10</v>
      </c>
      <c r="H149" s="52"/>
      <c r="I149" s="52"/>
      <c r="J149" s="52"/>
      <c r="K149" s="52"/>
      <c r="L149" s="52"/>
      <c r="M149" s="52"/>
      <c r="N149" s="52"/>
      <c r="O149" s="52"/>
      <c r="P149" s="52"/>
      <c r="Q149" s="52"/>
      <c r="R149" s="52"/>
      <c r="S149" s="52"/>
      <c r="T149" s="52"/>
      <c r="U149" s="52"/>
      <c r="V149" s="52"/>
      <c r="W149" s="52"/>
      <c r="X149" s="52"/>
      <c r="Y149" s="52"/>
      <c r="Z149" s="52"/>
    </row>
    <row r="150" spans="1:26" ht="62.25" customHeight="1">
      <c r="A150" s="50" t="s">
        <v>47</v>
      </c>
      <c r="B150" s="39" t="s">
        <v>1388</v>
      </c>
      <c r="C150" s="51">
        <v>44113</v>
      </c>
      <c r="D150" s="30" t="s">
        <v>13</v>
      </c>
      <c r="E150" s="30" t="s">
        <v>1389</v>
      </c>
      <c r="F150" s="43" t="s">
        <v>1390</v>
      </c>
      <c r="G150" s="38" t="s">
        <v>10</v>
      </c>
      <c r="H150" s="52"/>
      <c r="I150" s="52"/>
      <c r="J150" s="52"/>
      <c r="K150" s="52"/>
      <c r="L150" s="52"/>
      <c r="M150" s="52"/>
      <c r="N150" s="52"/>
      <c r="O150" s="52"/>
      <c r="P150" s="52"/>
      <c r="Q150" s="52"/>
      <c r="R150" s="52"/>
      <c r="S150" s="52"/>
      <c r="T150" s="52"/>
      <c r="U150" s="52"/>
      <c r="V150" s="52"/>
      <c r="W150" s="52"/>
      <c r="X150" s="52"/>
      <c r="Y150" s="52"/>
      <c r="Z150" s="52"/>
    </row>
    <row r="151" spans="1:26" ht="19.5" customHeight="1">
      <c r="A151" s="50" t="s">
        <v>47</v>
      </c>
      <c r="B151" s="39" t="s">
        <v>232</v>
      </c>
      <c r="C151" s="51">
        <v>43914</v>
      </c>
      <c r="D151" s="30" t="s">
        <v>19</v>
      </c>
      <c r="E151" s="30" t="s">
        <v>233</v>
      </c>
      <c r="F151" s="42" t="str">
        <f>HYPERLINK("https://s3.amazonaws.com/fn-document-service/file-by-sha384/1ae8597c0e897f555841300c89844cc49d809fd6689921ae46a52e2c1f98f4e62fbfde6d162f51018569f1b400d6fb43#page=11","Board of Supervisors Agenda")</f>
        <v>Board of Supervisors Agenda</v>
      </c>
      <c r="G151" s="38" t="s">
        <v>10</v>
      </c>
      <c r="H151" s="52"/>
      <c r="I151" s="52"/>
      <c r="J151" s="52"/>
      <c r="K151" s="52"/>
      <c r="L151" s="52"/>
      <c r="M151" s="52"/>
      <c r="N151" s="52"/>
      <c r="O151" s="52"/>
      <c r="P151" s="52"/>
      <c r="Q151" s="52"/>
      <c r="R151" s="52"/>
      <c r="S151" s="52"/>
      <c r="T151" s="52"/>
      <c r="U151" s="52"/>
      <c r="V151" s="52"/>
      <c r="W151" s="52"/>
      <c r="X151" s="52"/>
      <c r="Y151" s="52"/>
      <c r="Z151" s="52"/>
    </row>
    <row r="152" spans="1:26" ht="30">
      <c r="A152" s="50" t="s">
        <v>47</v>
      </c>
      <c r="B152" s="39" t="s">
        <v>232</v>
      </c>
      <c r="C152" s="51">
        <v>43907</v>
      </c>
      <c r="D152" s="30" t="s">
        <v>40</v>
      </c>
      <c r="E152" s="30" t="s">
        <v>234</v>
      </c>
      <c r="F152" s="42" t="str">
        <f>HYPERLINK("https://s3.amazonaws.com/fn-document-service/file-by-sha384/a494a515804316dddd008dcbc6e90d93e1c478b2d7e8cbdf8feec7f8d1816a3342fc0c988d2d96a7b2813700efc89056#page=3","Board of Supervisors Agenda")</f>
        <v>Board of Supervisors Agenda</v>
      </c>
      <c r="G152" s="38" t="s">
        <v>10</v>
      </c>
      <c r="H152" s="52"/>
      <c r="I152" s="52"/>
      <c r="J152" s="52"/>
      <c r="K152" s="52"/>
      <c r="L152" s="52"/>
      <c r="M152" s="52"/>
      <c r="N152" s="52"/>
      <c r="O152" s="52"/>
      <c r="P152" s="52"/>
      <c r="Q152" s="52"/>
      <c r="R152" s="52"/>
      <c r="S152" s="52"/>
      <c r="T152" s="52"/>
      <c r="U152" s="52"/>
      <c r="V152" s="52"/>
      <c r="W152" s="52"/>
      <c r="X152" s="52"/>
      <c r="Y152" s="52"/>
      <c r="Z152" s="52"/>
    </row>
    <row r="153" spans="1:26" ht="30">
      <c r="A153" s="50" t="s">
        <v>47</v>
      </c>
      <c r="B153" s="39" t="s">
        <v>235</v>
      </c>
      <c r="C153" s="51">
        <v>43977</v>
      </c>
      <c r="D153" s="30" t="s">
        <v>19</v>
      </c>
      <c r="E153" s="30" t="s">
        <v>236</v>
      </c>
      <c r="F153" s="43" t="str">
        <f>HYPERLINK("https://s3.amazonaws.com/fn-document-service/file-by-sha384/d6a66e916dc10ba6a107ec282bd74ad6d519680d34e8c24da8a30fa14f4370fd603f5dbd28237b16400fc1a496d1f386#page=7","City Council Agenda")</f>
        <v>City Council Agenda</v>
      </c>
      <c r="G153" s="38" t="s">
        <v>10</v>
      </c>
      <c r="H153" s="52"/>
      <c r="I153" s="52"/>
      <c r="J153" s="52"/>
      <c r="K153" s="52"/>
      <c r="L153" s="52"/>
      <c r="M153" s="52"/>
      <c r="N153" s="52"/>
      <c r="O153" s="52"/>
      <c r="P153" s="52"/>
      <c r="Q153" s="52"/>
      <c r="R153" s="52"/>
      <c r="S153" s="52"/>
      <c r="T153" s="52"/>
      <c r="U153" s="52"/>
      <c r="V153" s="52"/>
      <c r="W153" s="52"/>
      <c r="X153" s="52"/>
      <c r="Y153" s="52"/>
      <c r="Z153" s="52"/>
    </row>
    <row r="154" spans="1:26" ht="30">
      <c r="A154" s="50" t="s">
        <v>47</v>
      </c>
      <c r="B154" s="39" t="s">
        <v>237</v>
      </c>
      <c r="C154" s="51">
        <v>43964</v>
      </c>
      <c r="D154" s="30" t="s">
        <v>19</v>
      </c>
      <c r="E154" s="30" t="s">
        <v>238</v>
      </c>
      <c r="F154" s="43" t="str">
        <f>HYPERLINK("https://s3.amazonaws.com/fn-document-service/file-by-sha384/d70072b8db319b68f7ee6ae96a841ae445c247dfb67bb124458075747d0cdc5cd479c860c0b10454b1e96040e0f82155#page=7","City Council Agenda")</f>
        <v>City Council Agenda</v>
      </c>
      <c r="G154" s="38" t="s">
        <v>10</v>
      </c>
      <c r="H154" s="52"/>
      <c r="I154" s="52"/>
      <c r="J154" s="52"/>
      <c r="K154" s="52"/>
      <c r="L154" s="52"/>
      <c r="M154" s="52"/>
      <c r="N154" s="52"/>
      <c r="O154" s="52"/>
      <c r="P154" s="52"/>
      <c r="Q154" s="52"/>
      <c r="R154" s="52"/>
      <c r="S154" s="52"/>
      <c r="T154" s="52"/>
      <c r="U154" s="52"/>
      <c r="V154" s="52"/>
      <c r="W154" s="52"/>
      <c r="X154" s="52"/>
      <c r="Y154" s="52"/>
      <c r="Z154" s="52"/>
    </row>
    <row r="155" spans="1:26" ht="30">
      <c r="A155" s="50" t="s">
        <v>47</v>
      </c>
      <c r="B155" s="39" t="s">
        <v>239</v>
      </c>
      <c r="C155" s="51">
        <v>43907</v>
      </c>
      <c r="D155" s="30" t="s">
        <v>49</v>
      </c>
      <c r="E155" s="30" t="s">
        <v>240</v>
      </c>
      <c r="F155" s="42" t="str">
        <f>HYPERLINK("https://s3.amazonaws.com/fn-document-service/file-by-sha384/51ed488b0f98ced16396a133d7c70121bc187425bdbe6f2d540d5c12f5db32e4b18995440bc8d40003807ce40150496c#page=4","Board of Supervisors Agenda")</f>
        <v>Board of Supervisors Agenda</v>
      </c>
      <c r="G155" s="38" t="s">
        <v>10</v>
      </c>
      <c r="H155" s="52"/>
      <c r="I155" s="52"/>
      <c r="J155" s="52"/>
      <c r="K155" s="52"/>
      <c r="L155" s="52"/>
      <c r="M155" s="52"/>
      <c r="N155" s="52"/>
      <c r="O155" s="52"/>
      <c r="P155" s="52"/>
      <c r="Q155" s="52"/>
      <c r="R155" s="52"/>
      <c r="S155" s="52"/>
      <c r="T155" s="52"/>
      <c r="U155" s="52"/>
      <c r="V155" s="52"/>
      <c r="W155" s="52"/>
      <c r="X155" s="52"/>
      <c r="Y155" s="52"/>
      <c r="Z155" s="52"/>
    </row>
    <row r="156" spans="1:26" ht="89.25" customHeight="1">
      <c r="A156" s="50" t="s">
        <v>47</v>
      </c>
      <c r="B156" s="39" t="s">
        <v>18</v>
      </c>
      <c r="C156" s="51">
        <v>43930</v>
      </c>
      <c r="D156" s="30" t="s">
        <v>247</v>
      </c>
      <c r="E156" s="30" t="s">
        <v>248</v>
      </c>
      <c r="F156" s="42" t="str">
        <f>HYPERLINK("http://leginfo.legislature.ca.gov/faces/billTextClient.xhtml?bill_id=201920200SB1435","SB-1435 Opportunity zone funds: reporting.")</f>
        <v>SB-1435 Opportunity zone funds: reporting.</v>
      </c>
      <c r="G156" s="38" t="s">
        <v>17</v>
      </c>
      <c r="H156" s="52"/>
      <c r="I156" s="52"/>
      <c r="J156" s="52"/>
      <c r="K156" s="52"/>
      <c r="L156" s="52"/>
      <c r="M156" s="52"/>
      <c r="N156" s="52"/>
      <c r="O156" s="52"/>
      <c r="P156" s="52"/>
      <c r="Q156" s="52"/>
      <c r="R156" s="52"/>
      <c r="S156" s="52"/>
      <c r="T156" s="52"/>
      <c r="U156" s="52"/>
      <c r="V156" s="52"/>
      <c r="W156" s="52"/>
      <c r="X156" s="52"/>
      <c r="Y156" s="52"/>
      <c r="Z156" s="52"/>
    </row>
    <row r="157" spans="1:26" ht="30">
      <c r="A157" s="50" t="s">
        <v>47</v>
      </c>
      <c r="B157" s="39" t="s">
        <v>18</v>
      </c>
      <c r="C157" s="51">
        <v>43910</v>
      </c>
      <c r="D157" s="30" t="s">
        <v>243</v>
      </c>
      <c r="E157" s="30" t="s">
        <v>244</v>
      </c>
      <c r="F157" s="42" t="str">
        <f>HYPERLINK("https://covid19.ca.gov/img/EssentialCriticalInfrastructureWorkers.pdf","Construction of residential housing deemed essential")</f>
        <v>Construction of residential housing deemed essential</v>
      </c>
      <c r="G157" s="38" t="s">
        <v>10</v>
      </c>
      <c r="H157" s="52"/>
      <c r="I157" s="52"/>
      <c r="J157" s="52"/>
      <c r="K157" s="52"/>
      <c r="L157" s="52"/>
      <c r="M157" s="52"/>
      <c r="N157" s="52"/>
      <c r="O157" s="52"/>
      <c r="P157" s="52"/>
      <c r="Q157" s="52"/>
      <c r="R157" s="52"/>
      <c r="S157" s="52"/>
      <c r="T157" s="52"/>
      <c r="U157" s="52"/>
      <c r="V157" s="52"/>
      <c r="W157" s="52"/>
      <c r="X157" s="52"/>
      <c r="Y157" s="52"/>
      <c r="Z157" s="52"/>
    </row>
    <row r="158" spans="1:26" ht="60">
      <c r="A158" s="50" t="s">
        <v>47</v>
      </c>
      <c r="B158" s="39" t="s">
        <v>18</v>
      </c>
      <c r="C158" s="51">
        <v>43917</v>
      </c>
      <c r="D158" s="30" t="s">
        <v>19</v>
      </c>
      <c r="E158" s="50" t="s">
        <v>245</v>
      </c>
      <c r="F158" s="42" t="str">
        <f>HYPERLINK("https://www.gov.ca.gov/2020/03/27/governor-newsom-takes-executive-action-to-establish-a-statewide-moratorium-on-evictions/","Governor Newsom Takes Executive Action to Establish a Statewide Moratorium on Evictions ")</f>
        <v xml:space="preserve">Governor Newsom Takes Executive Action to Establish a Statewide Moratorium on Evictions </v>
      </c>
      <c r="G158" s="38" t="s">
        <v>10</v>
      </c>
      <c r="H158" s="52"/>
      <c r="I158" s="52"/>
      <c r="J158" s="52"/>
      <c r="K158" s="52"/>
      <c r="L158" s="52"/>
      <c r="M158" s="52"/>
      <c r="N158" s="52"/>
      <c r="O158" s="52"/>
      <c r="P158" s="52"/>
      <c r="Q158" s="52"/>
      <c r="R158" s="52"/>
      <c r="S158" s="52"/>
      <c r="T158" s="52"/>
      <c r="U158" s="52"/>
      <c r="V158" s="52"/>
      <c r="W158" s="52"/>
      <c r="X158" s="52"/>
      <c r="Y158" s="52"/>
      <c r="Z158" s="52"/>
    </row>
    <row r="159" spans="1:26" ht="375">
      <c r="A159" s="50" t="s">
        <v>47</v>
      </c>
      <c r="B159" s="39" t="s">
        <v>18</v>
      </c>
      <c r="C159" s="51">
        <v>43908</v>
      </c>
      <c r="D159" s="30" t="s">
        <v>49</v>
      </c>
      <c r="E159" s="30" t="s">
        <v>241</v>
      </c>
      <c r="F159" s="42" t="s">
        <v>242</v>
      </c>
      <c r="G159" s="38" t="s">
        <v>10</v>
      </c>
      <c r="H159" s="52"/>
      <c r="I159" s="52"/>
      <c r="J159" s="52"/>
      <c r="K159" s="52"/>
      <c r="L159" s="52"/>
      <c r="M159" s="52"/>
      <c r="N159" s="52"/>
      <c r="O159" s="52"/>
      <c r="P159" s="52"/>
      <c r="Q159" s="52"/>
      <c r="R159" s="52"/>
      <c r="S159" s="52"/>
      <c r="T159" s="52"/>
      <c r="U159" s="52"/>
      <c r="V159" s="52"/>
      <c r="W159" s="52"/>
      <c r="X159" s="52"/>
      <c r="Y159" s="52"/>
      <c r="Z159" s="52"/>
    </row>
    <row r="160" spans="1:26" ht="60" customHeight="1">
      <c r="A160" s="50" t="s">
        <v>47</v>
      </c>
      <c r="B160" s="39" t="s">
        <v>18</v>
      </c>
      <c r="C160" s="51">
        <v>43909</v>
      </c>
      <c r="D160" s="30" t="s">
        <v>49</v>
      </c>
      <c r="E160" s="30" t="s">
        <v>246</v>
      </c>
      <c r="F160" s="42" t="str">
        <f>HYPERLINK("https://leginfo.legislature.ca.gov/faces/billTextClient.xhtml?bill_id=201920200SB1088","SB-1088 Homelessness: domestic violence survivors")</f>
        <v>SB-1088 Homelessness: domestic violence survivors</v>
      </c>
      <c r="G160" s="38" t="s">
        <v>17</v>
      </c>
      <c r="H160" s="52"/>
      <c r="I160" s="52"/>
      <c r="J160" s="52"/>
      <c r="K160" s="52"/>
      <c r="L160" s="52"/>
      <c r="M160" s="52"/>
      <c r="N160" s="52"/>
      <c r="O160" s="52"/>
      <c r="P160" s="52"/>
      <c r="Q160" s="52"/>
      <c r="R160" s="52"/>
      <c r="S160" s="52"/>
      <c r="T160" s="52"/>
      <c r="U160" s="52"/>
      <c r="V160" s="52"/>
      <c r="W160" s="52"/>
      <c r="X160" s="52"/>
      <c r="Y160" s="52"/>
      <c r="Z160" s="52"/>
    </row>
    <row r="161" spans="1:26" ht="30">
      <c r="A161" s="50" t="s">
        <v>47</v>
      </c>
      <c r="B161" s="39" t="s">
        <v>18</v>
      </c>
      <c r="C161" s="51">
        <v>43913</v>
      </c>
      <c r="D161" s="30" t="s">
        <v>8</v>
      </c>
      <c r="E161" s="30" t="s">
        <v>249</v>
      </c>
      <c r="F161" s="42" t="str">
        <f>HYPERLINK("https://newsroom.courts.ca.gov/news/chief-justice-issues-statewide-order-suspending-jury-trials","Chief Justice issues Statewide Order Suspending Jury Trials")</f>
        <v>Chief Justice issues Statewide Order Suspending Jury Trials</v>
      </c>
      <c r="G161" s="38" t="s">
        <v>10</v>
      </c>
      <c r="H161" s="52"/>
      <c r="I161" s="52"/>
      <c r="J161" s="52"/>
      <c r="K161" s="52"/>
      <c r="L161" s="52"/>
      <c r="M161" s="52"/>
      <c r="N161" s="52"/>
      <c r="O161" s="52"/>
      <c r="P161" s="52"/>
      <c r="Q161" s="52"/>
      <c r="R161" s="52"/>
      <c r="S161" s="52"/>
      <c r="T161" s="52"/>
      <c r="U161" s="52"/>
      <c r="V161" s="52"/>
      <c r="W161" s="52"/>
      <c r="X161" s="52"/>
      <c r="Y161" s="52"/>
      <c r="Z161" s="52"/>
    </row>
    <row r="162" spans="1:26" ht="45">
      <c r="A162" s="50" t="s">
        <v>47</v>
      </c>
      <c r="B162" s="39" t="s">
        <v>18</v>
      </c>
      <c r="C162" s="51">
        <v>43914</v>
      </c>
      <c r="D162" s="30" t="s">
        <v>8</v>
      </c>
      <c r="E162" s="30" t="s">
        <v>250</v>
      </c>
      <c r="F162" s="43" t="s">
        <v>251</v>
      </c>
      <c r="G162" s="38" t="s">
        <v>10</v>
      </c>
      <c r="H162" s="52"/>
      <c r="I162" s="52"/>
      <c r="J162" s="52"/>
      <c r="K162" s="52"/>
      <c r="L162" s="52"/>
      <c r="M162" s="52"/>
      <c r="N162" s="52"/>
      <c r="O162" s="52"/>
      <c r="P162" s="52"/>
      <c r="Q162" s="52"/>
      <c r="R162" s="52"/>
      <c r="S162" s="52"/>
      <c r="T162" s="52"/>
      <c r="U162" s="52"/>
      <c r="V162" s="52"/>
      <c r="W162" s="52"/>
      <c r="X162" s="52"/>
      <c r="Y162" s="52"/>
      <c r="Z162" s="52"/>
    </row>
    <row r="163" spans="1:26" ht="60">
      <c r="A163" s="50" t="s">
        <v>47</v>
      </c>
      <c r="B163" s="39" t="s">
        <v>18</v>
      </c>
      <c r="C163" s="51">
        <v>43921</v>
      </c>
      <c r="D163" s="30" t="s">
        <v>8</v>
      </c>
      <c r="E163" s="30" t="s">
        <v>252</v>
      </c>
      <c r="F163" s="43" t="str">
        <f>HYPERLINK("https://thehill.com/homenews/state-watch/490498-california-to-release-3500-non-violent-inmates-amid-coronavirus-outbreak","California to release up to 3,500 non-violent inmates amid coronavirus outbreak")</f>
        <v>California to release up to 3,500 non-violent inmates amid coronavirus outbreak</v>
      </c>
      <c r="G163" s="38" t="s">
        <v>10</v>
      </c>
      <c r="H163" s="52"/>
      <c r="I163" s="52"/>
      <c r="J163" s="52"/>
      <c r="K163" s="52"/>
      <c r="L163" s="52"/>
      <c r="M163" s="52"/>
      <c r="N163" s="52"/>
      <c r="O163" s="52"/>
      <c r="P163" s="52"/>
      <c r="Q163" s="52"/>
      <c r="R163" s="52"/>
      <c r="S163" s="52"/>
      <c r="T163" s="52"/>
      <c r="U163" s="52"/>
      <c r="V163" s="52"/>
      <c r="W163" s="52"/>
      <c r="X163" s="52"/>
      <c r="Y163" s="52"/>
      <c r="Z163" s="52"/>
    </row>
    <row r="164" spans="1:26" ht="75">
      <c r="A164" s="50" t="s">
        <v>47</v>
      </c>
      <c r="B164" s="39" t="s">
        <v>18</v>
      </c>
      <c r="C164" s="51">
        <v>44007</v>
      </c>
      <c r="D164" s="30" t="s">
        <v>154</v>
      </c>
      <c r="E164" s="30" t="s">
        <v>1116</v>
      </c>
      <c r="F164" s="43" t="s">
        <v>1117</v>
      </c>
      <c r="G164" s="38" t="s">
        <v>10</v>
      </c>
      <c r="H164" s="52"/>
      <c r="I164" s="52"/>
      <c r="J164" s="52"/>
      <c r="K164" s="52"/>
      <c r="L164" s="52"/>
      <c r="M164" s="52"/>
      <c r="N164" s="52"/>
      <c r="O164" s="52"/>
      <c r="P164" s="52"/>
      <c r="Q164" s="52"/>
      <c r="R164" s="52"/>
      <c r="S164" s="52"/>
      <c r="T164" s="52"/>
      <c r="U164" s="52"/>
      <c r="V164" s="52"/>
      <c r="W164" s="52"/>
      <c r="X164" s="52"/>
      <c r="Y164" s="52"/>
      <c r="Z164" s="52"/>
    </row>
    <row r="165" spans="1:26" ht="45">
      <c r="A165" s="50" t="s">
        <v>47</v>
      </c>
      <c r="B165" s="39" t="s">
        <v>253</v>
      </c>
      <c r="C165" s="51">
        <v>43907</v>
      </c>
      <c r="D165" s="51" t="s">
        <v>19</v>
      </c>
      <c r="E165" s="30" t="s">
        <v>254</v>
      </c>
      <c r="F165" s="42" t="s">
        <v>93</v>
      </c>
      <c r="G165" s="38" t="s">
        <v>51</v>
      </c>
      <c r="H165" s="52"/>
      <c r="I165" s="52"/>
      <c r="J165" s="52"/>
      <c r="K165" s="52"/>
      <c r="L165" s="52"/>
      <c r="M165" s="52"/>
      <c r="N165" s="52"/>
      <c r="O165" s="52"/>
      <c r="P165" s="52"/>
      <c r="Q165" s="52"/>
      <c r="R165" s="52"/>
      <c r="S165" s="52"/>
      <c r="T165" s="52"/>
      <c r="U165" s="52"/>
      <c r="V165" s="52"/>
      <c r="W165" s="52"/>
      <c r="X165" s="52"/>
      <c r="Y165" s="52"/>
      <c r="Z165" s="52"/>
    </row>
    <row r="166" spans="1:26" ht="30">
      <c r="A166" s="50" t="s">
        <v>47</v>
      </c>
      <c r="B166" s="39" t="s">
        <v>253</v>
      </c>
      <c r="C166" s="51">
        <v>43970</v>
      </c>
      <c r="D166" s="51" t="s">
        <v>19</v>
      </c>
      <c r="E166" s="30" t="s">
        <v>255</v>
      </c>
      <c r="F166" s="43" t="s">
        <v>93</v>
      </c>
      <c r="G166" s="38" t="s">
        <v>10</v>
      </c>
      <c r="H166" s="52"/>
      <c r="I166" s="52"/>
      <c r="J166" s="52"/>
      <c r="K166" s="52"/>
      <c r="L166" s="52"/>
      <c r="M166" s="52"/>
      <c r="N166" s="52"/>
      <c r="O166" s="52"/>
      <c r="P166" s="52"/>
      <c r="Q166" s="52"/>
      <c r="R166" s="52"/>
      <c r="S166" s="52"/>
      <c r="T166" s="52"/>
      <c r="U166" s="52"/>
      <c r="V166" s="52"/>
      <c r="W166" s="52"/>
      <c r="X166" s="52"/>
      <c r="Y166" s="52"/>
      <c r="Z166" s="52"/>
    </row>
    <row r="167" spans="1:26" ht="60">
      <c r="A167" s="50" t="s">
        <v>47</v>
      </c>
      <c r="B167" s="39" t="s">
        <v>256</v>
      </c>
      <c r="C167" s="51">
        <v>43928</v>
      </c>
      <c r="D167" s="30" t="s">
        <v>19</v>
      </c>
      <c r="E167" s="30" t="s">
        <v>257</v>
      </c>
      <c r="F167" s="42" t="str">
        <f>HYPERLINK("https://s3.amazonaws.com/fn-document-service/file-by-sha384/805f877ffc7e1eb997d1629ff6024fa9ff37b323143f7578204ba89c893285943c501ba1da864f3cbb07467a69100827#page=4","City Council Meeting Agenda")</f>
        <v>City Council Meeting Agenda</v>
      </c>
      <c r="G167" s="38" t="s">
        <v>51</v>
      </c>
      <c r="H167" s="52"/>
      <c r="I167" s="52"/>
      <c r="J167" s="52"/>
      <c r="K167" s="52"/>
      <c r="L167" s="52"/>
      <c r="M167" s="52"/>
      <c r="N167" s="52"/>
      <c r="O167" s="52"/>
      <c r="P167" s="52"/>
      <c r="Q167" s="52"/>
      <c r="R167" s="52"/>
      <c r="S167" s="52"/>
      <c r="T167" s="52"/>
      <c r="U167" s="52"/>
      <c r="V167" s="52"/>
      <c r="W167" s="52"/>
      <c r="X167" s="52"/>
      <c r="Y167" s="52"/>
      <c r="Z167" s="52"/>
    </row>
    <row r="168" spans="1:26" ht="45">
      <c r="A168" s="50" t="s">
        <v>47</v>
      </c>
      <c r="B168" s="39" t="s">
        <v>258</v>
      </c>
      <c r="C168" s="51">
        <v>43921</v>
      </c>
      <c r="D168" s="30" t="s">
        <v>49</v>
      </c>
      <c r="E168" s="30" t="s">
        <v>259</v>
      </c>
      <c r="F168" s="42" t="str">
        <f>HYPERLINK("https://s3.amazonaws.com/fn-document-service/file-by-sha384/af40516dec6de26fb7e8abe8fb2fc60890ff91e22d3e78685f3730c6cda86140adf40d5e4f506f12b6517ef1da231ec1#page=5","Board of Supervisors Agenda")</f>
        <v>Board of Supervisors Agenda</v>
      </c>
      <c r="G168" s="38" t="s">
        <v>10</v>
      </c>
      <c r="H168" s="52"/>
      <c r="I168" s="52"/>
      <c r="J168" s="52"/>
      <c r="K168" s="52"/>
      <c r="L168" s="52"/>
      <c r="M168" s="52"/>
      <c r="N168" s="52"/>
      <c r="O168" s="52"/>
      <c r="P168" s="52"/>
      <c r="Q168" s="52"/>
      <c r="R168" s="52"/>
      <c r="S168" s="52"/>
      <c r="T168" s="52"/>
      <c r="U168" s="52"/>
      <c r="V168" s="52"/>
      <c r="W168" s="52"/>
      <c r="X168" s="52"/>
      <c r="Y168" s="52"/>
      <c r="Z168" s="52"/>
    </row>
    <row r="169" spans="1:26" ht="45">
      <c r="A169" s="50" t="s">
        <v>47</v>
      </c>
      <c r="B169" s="39" t="s">
        <v>260</v>
      </c>
      <c r="C169" s="51">
        <v>43914</v>
      </c>
      <c r="D169" s="30" t="s">
        <v>19</v>
      </c>
      <c r="E169" s="30" t="s">
        <v>261</v>
      </c>
      <c r="F169" s="42" t="str">
        <f>HYPERLINK("https://s3.amazonaws.com/fn-document-service/file-by-sha384/c206b3b49fb0837bcfaede8e3b4f9d5c9e87d5b0c17836045ce60aa2935c5de8bee31348e9efb7f0b68f5a93d01aec4a#page=1","City Council Meeting Agenda")</f>
        <v>City Council Meeting Agenda</v>
      </c>
      <c r="G169" s="38" t="s">
        <v>10</v>
      </c>
      <c r="H169" s="52"/>
      <c r="I169" s="52"/>
      <c r="J169" s="52"/>
      <c r="K169" s="52"/>
      <c r="L169" s="52"/>
      <c r="M169" s="52"/>
      <c r="N169" s="52"/>
      <c r="O169" s="52"/>
      <c r="P169" s="52"/>
      <c r="Q169" s="52"/>
      <c r="R169" s="52"/>
      <c r="S169" s="52"/>
      <c r="T169" s="52"/>
      <c r="U169" s="52"/>
      <c r="V169" s="52"/>
      <c r="W169" s="52"/>
      <c r="X169" s="52"/>
      <c r="Y169" s="52"/>
      <c r="Z169" s="52"/>
    </row>
    <row r="170" spans="1:26" ht="30" customHeight="1">
      <c r="A170" s="50" t="s">
        <v>47</v>
      </c>
      <c r="B170" s="39" t="s">
        <v>262</v>
      </c>
      <c r="C170" s="51">
        <v>43909</v>
      </c>
      <c r="D170" s="30" t="s">
        <v>19</v>
      </c>
      <c r="E170" s="30" t="s">
        <v>263</v>
      </c>
      <c r="F170" s="42" t="str">
        <f>HYPERLINK("https://www.vcstar.com/story/news/local/2020/03/19/thousand-oaks-coronavirus-oxnard-ventura-county-cities-halt-evictions/2865264001/"," Six Ventura County cities halt evictions; other cities are considering")</f>
        <v xml:space="preserve"> Six Ventura County cities halt evictions; other cities are considering</v>
      </c>
      <c r="G170" s="38" t="s">
        <v>10</v>
      </c>
      <c r="H170" s="52"/>
      <c r="I170" s="52"/>
      <c r="J170" s="52"/>
      <c r="K170" s="52"/>
      <c r="L170" s="52"/>
      <c r="M170" s="52"/>
      <c r="N170" s="52"/>
      <c r="O170" s="52"/>
      <c r="P170" s="52"/>
      <c r="Q170" s="52"/>
      <c r="R170" s="52"/>
      <c r="S170" s="52"/>
      <c r="T170" s="52"/>
      <c r="U170" s="52"/>
      <c r="V170" s="52"/>
      <c r="W170" s="52"/>
      <c r="X170" s="52"/>
      <c r="Y170" s="52"/>
      <c r="Z170" s="52"/>
    </row>
    <row r="171" spans="1:26" ht="75">
      <c r="A171" s="50" t="s">
        <v>47</v>
      </c>
      <c r="B171" s="39" t="s">
        <v>262</v>
      </c>
      <c r="C171" s="51">
        <v>43999</v>
      </c>
      <c r="D171" s="30" t="s">
        <v>13</v>
      </c>
      <c r="E171" s="30" t="s">
        <v>1065</v>
      </c>
      <c r="F171" s="43" t="s">
        <v>1064</v>
      </c>
      <c r="G171" s="38" t="s">
        <v>10</v>
      </c>
      <c r="H171" s="52"/>
      <c r="I171" s="52"/>
      <c r="J171" s="52"/>
      <c r="K171" s="52"/>
      <c r="L171" s="52"/>
      <c r="M171" s="52"/>
      <c r="N171" s="52"/>
      <c r="O171" s="52"/>
      <c r="P171" s="52"/>
      <c r="Q171" s="52"/>
      <c r="R171" s="52"/>
      <c r="S171" s="52"/>
      <c r="T171" s="52"/>
      <c r="U171" s="52"/>
      <c r="V171" s="52"/>
      <c r="W171" s="52"/>
      <c r="X171" s="52"/>
      <c r="Y171" s="52"/>
      <c r="Z171" s="52"/>
    </row>
    <row r="172" spans="1:26" ht="45">
      <c r="A172" s="50" t="s">
        <v>47</v>
      </c>
      <c r="B172" s="39" t="s">
        <v>262</v>
      </c>
      <c r="C172" s="51">
        <v>43999</v>
      </c>
      <c r="D172" s="30" t="s">
        <v>13</v>
      </c>
      <c r="E172" s="30" t="s">
        <v>1256</v>
      </c>
      <c r="F172" s="43" t="s">
        <v>1064</v>
      </c>
      <c r="G172" s="38" t="s">
        <v>10</v>
      </c>
      <c r="H172" s="52"/>
      <c r="I172" s="52"/>
      <c r="J172" s="52"/>
      <c r="K172" s="52"/>
      <c r="L172" s="52"/>
      <c r="M172" s="52"/>
      <c r="N172" s="52"/>
      <c r="O172" s="52"/>
      <c r="P172" s="52"/>
      <c r="Q172" s="52"/>
      <c r="R172" s="52"/>
      <c r="S172" s="52"/>
      <c r="T172" s="52"/>
      <c r="U172" s="52"/>
      <c r="V172" s="52"/>
      <c r="W172" s="52"/>
      <c r="X172" s="52"/>
      <c r="Y172" s="52"/>
      <c r="Z172" s="52"/>
    </row>
    <row r="173" spans="1:26" ht="60">
      <c r="A173" s="50" t="s">
        <v>47</v>
      </c>
      <c r="B173" s="39" t="s">
        <v>264</v>
      </c>
      <c r="C173" s="51">
        <v>43977</v>
      </c>
      <c r="D173" s="30" t="s">
        <v>19</v>
      </c>
      <c r="E173" s="30" t="s">
        <v>265</v>
      </c>
      <c r="F173" s="43" t="str">
        <f>HYPERLINK("https://s3.amazonaws.com/fn-document-service/file-by-sha384/10b994404d9b444f507bbe880c99cd16fc6949430c1099a41ad53344f7001525628cbc2c31a325105f9af70620c90469#page=13","City of Watsonville City Council Meeting")</f>
        <v>City of Watsonville City Council Meeting</v>
      </c>
      <c r="G173" s="38" t="s">
        <v>10</v>
      </c>
      <c r="H173" s="52"/>
      <c r="I173" s="52"/>
      <c r="J173" s="52"/>
      <c r="K173" s="52"/>
      <c r="L173" s="52"/>
      <c r="M173" s="52"/>
      <c r="N173" s="52"/>
      <c r="O173" s="52"/>
      <c r="P173" s="52"/>
      <c r="Q173" s="52"/>
      <c r="R173" s="52"/>
      <c r="S173" s="52"/>
      <c r="T173" s="52"/>
      <c r="U173" s="52"/>
      <c r="V173" s="52"/>
      <c r="W173" s="52"/>
      <c r="X173" s="52"/>
      <c r="Y173" s="52"/>
      <c r="Z173" s="52"/>
    </row>
    <row r="174" spans="1:26" ht="45">
      <c r="A174" s="50" t="s">
        <v>47</v>
      </c>
      <c r="B174" s="39" t="s">
        <v>266</v>
      </c>
      <c r="C174" s="51">
        <v>43929</v>
      </c>
      <c r="D174" s="30" t="s">
        <v>19</v>
      </c>
      <c r="E174" s="30" t="s">
        <v>267</v>
      </c>
      <c r="F174" s="42" t="str">
        <f>HYPERLINK("https://s3.amazonaws.com/fn-document-service/file-by-sha384/a5e0d6bb6b63686592360eca7abd90d496c7851774495f6e1b47f1ce4cbc85adfef13450d3051120c5a8de3398d26cdb#page=2","City of West Sacremento Special Meeting Agenda")</f>
        <v>City of West Sacremento Special Meeting Agenda</v>
      </c>
      <c r="G174" s="38" t="s">
        <v>10</v>
      </c>
      <c r="H174" s="52"/>
      <c r="I174" s="52"/>
      <c r="J174" s="52"/>
      <c r="K174" s="52"/>
      <c r="L174" s="52"/>
      <c r="M174" s="52"/>
      <c r="N174" s="52"/>
      <c r="O174" s="52"/>
      <c r="P174" s="52"/>
      <c r="Q174" s="52"/>
      <c r="R174" s="52"/>
      <c r="S174" s="52"/>
      <c r="T174" s="52"/>
      <c r="U174" s="52"/>
      <c r="V174" s="52"/>
      <c r="W174" s="52"/>
      <c r="X174" s="52"/>
      <c r="Y174" s="52"/>
      <c r="Z174" s="52"/>
    </row>
    <row r="175" spans="1:26" ht="30">
      <c r="A175" s="50" t="s">
        <v>47</v>
      </c>
      <c r="B175" s="39" t="s">
        <v>268</v>
      </c>
      <c r="C175" s="51">
        <v>43949</v>
      </c>
      <c r="D175" s="30" t="s">
        <v>19</v>
      </c>
      <c r="E175" s="30" t="s">
        <v>269</v>
      </c>
      <c r="F175" s="43" t="str">
        <f>HYPERLINK("https://s3.amazonaws.com/fn-document-service/file-by-sha384/c4464d0e52f6cb551e7502c7d0cf823426db3c88e945f2386160541993fdf3dfcf204d5e488eb48f6c3e5df2f1a963e7#page=5","Board of Supervisors Agenda")</f>
        <v>Board of Supervisors Agenda</v>
      </c>
      <c r="G175" s="38" t="s">
        <v>10</v>
      </c>
      <c r="H175" s="52"/>
      <c r="I175" s="52"/>
      <c r="J175" s="52"/>
      <c r="K175" s="52"/>
      <c r="L175" s="52"/>
      <c r="M175" s="52"/>
      <c r="N175" s="52"/>
      <c r="O175" s="52"/>
      <c r="P175" s="52"/>
      <c r="Q175" s="52"/>
      <c r="R175" s="52"/>
      <c r="S175" s="52"/>
      <c r="T175" s="52"/>
      <c r="U175" s="52"/>
      <c r="V175" s="52"/>
      <c r="W175" s="52"/>
      <c r="X175" s="52"/>
      <c r="Y175" s="52"/>
      <c r="Z175" s="52"/>
    </row>
    <row r="176" spans="1:26" ht="90">
      <c r="A176" s="50" t="s">
        <v>47</v>
      </c>
      <c r="B176" s="39" t="s">
        <v>268</v>
      </c>
      <c r="C176" s="51">
        <v>43928</v>
      </c>
      <c r="D176" s="30" t="s">
        <v>49</v>
      </c>
      <c r="E176" s="30" t="s">
        <v>270</v>
      </c>
      <c r="F176" s="42" t="str">
        <f>HYPERLINK("https://s3.amazonaws.com/fn-document-service/file-by-sha384/a32b38489de4cf9a8afaccd2e7a53dcddb781207b07a70c2caeb74603ab4714b8aa20489cca4b6f30db44d6b9adb611f#page=4","Board of Supervisors Agenda")</f>
        <v>Board of Supervisors Agenda</v>
      </c>
      <c r="G176" s="38" t="s">
        <v>10</v>
      </c>
      <c r="H176" s="52"/>
      <c r="I176" s="52"/>
      <c r="J176" s="52"/>
      <c r="K176" s="52"/>
      <c r="L176" s="52"/>
      <c r="M176" s="52"/>
      <c r="N176" s="52"/>
      <c r="O176" s="52"/>
      <c r="P176" s="52"/>
      <c r="Q176" s="52"/>
      <c r="R176" s="52"/>
      <c r="S176" s="52"/>
      <c r="T176" s="52"/>
      <c r="U176" s="52"/>
      <c r="V176" s="52"/>
      <c r="W176" s="52"/>
      <c r="X176" s="52"/>
      <c r="Y176" s="52"/>
      <c r="Z176" s="52"/>
    </row>
    <row r="177" spans="1:26" ht="30">
      <c r="A177" s="50" t="s">
        <v>47</v>
      </c>
      <c r="B177" s="39" t="s">
        <v>271</v>
      </c>
      <c r="C177" s="51">
        <v>43934</v>
      </c>
      <c r="D177" s="30" t="s">
        <v>19</v>
      </c>
      <c r="E177" s="30" t="s">
        <v>272</v>
      </c>
      <c r="F177" s="42" t="str">
        <f>HYPERLINK("https://s3.amazonaws.com/fn-document-service/file-by-sha384/c1ef769a073391d2b565a49563952e1fe6d5459f3253e4aefebc837c1bd87448210af593995c2b5a75fe98688a0340c1#page=4","City Council Agenda")</f>
        <v>City Council Agenda</v>
      </c>
      <c r="G177" s="38" t="s">
        <v>10</v>
      </c>
      <c r="H177" s="52"/>
      <c r="I177" s="52"/>
      <c r="J177" s="52"/>
      <c r="K177" s="52"/>
      <c r="L177" s="52"/>
      <c r="M177" s="52"/>
      <c r="N177" s="52"/>
      <c r="O177" s="52"/>
      <c r="P177" s="52"/>
      <c r="Q177" s="52"/>
      <c r="R177" s="52"/>
      <c r="S177" s="52"/>
      <c r="T177" s="52"/>
      <c r="U177" s="52"/>
      <c r="V177" s="52"/>
      <c r="W177" s="52"/>
      <c r="X177" s="52"/>
      <c r="Y177" s="52"/>
      <c r="Z177" s="52"/>
    </row>
    <row r="178" spans="1:26" ht="75">
      <c r="A178" s="50" t="s">
        <v>281</v>
      </c>
      <c r="B178" s="39" t="s">
        <v>282</v>
      </c>
      <c r="C178" s="51">
        <v>43971</v>
      </c>
      <c r="D178" s="51" t="s">
        <v>13</v>
      </c>
      <c r="E178" s="30" t="s">
        <v>995</v>
      </c>
      <c r="F178" s="43" t="s">
        <v>996</v>
      </c>
      <c r="G178" s="38" t="s">
        <v>10</v>
      </c>
      <c r="H178" s="52"/>
      <c r="I178" s="52"/>
      <c r="J178" s="52"/>
      <c r="K178" s="52"/>
      <c r="L178" s="52"/>
      <c r="M178" s="52"/>
      <c r="N178" s="52"/>
      <c r="O178" s="52"/>
      <c r="P178" s="52"/>
      <c r="Q178" s="52"/>
      <c r="R178" s="52"/>
      <c r="S178" s="52"/>
      <c r="T178" s="52"/>
      <c r="U178" s="52"/>
      <c r="V178" s="52"/>
      <c r="W178" s="52"/>
      <c r="X178" s="52"/>
      <c r="Y178" s="52"/>
      <c r="Z178" s="52"/>
    </row>
    <row r="179" spans="1:26" ht="30">
      <c r="A179" s="50" t="s">
        <v>281</v>
      </c>
      <c r="B179" s="39" t="s">
        <v>283</v>
      </c>
      <c r="C179" s="51">
        <v>43906</v>
      </c>
      <c r="D179" s="30" t="s">
        <v>19</v>
      </c>
      <c r="E179" s="30" t="s">
        <v>284</v>
      </c>
      <c r="F179" s="42" t="str">
        <f>HYPERLINK("https://www.denvergov.org/content/denvergov/en/mayors-office/newsroom/2020/city-and-county-of-denver-covid-19-response-update.html","City and County of Denver COVID-19 Response Update")</f>
        <v>City and County of Denver COVID-19 Response Update</v>
      </c>
      <c r="G179" s="38" t="s">
        <v>10</v>
      </c>
      <c r="H179" s="52"/>
      <c r="I179" s="52"/>
      <c r="J179" s="52"/>
      <c r="K179" s="52"/>
      <c r="L179" s="52"/>
      <c r="M179" s="52"/>
      <c r="N179" s="52"/>
      <c r="O179" s="52"/>
      <c r="P179" s="52"/>
      <c r="Q179" s="52"/>
      <c r="R179" s="52"/>
      <c r="S179" s="52"/>
      <c r="T179" s="52"/>
      <c r="U179" s="52"/>
      <c r="V179" s="52"/>
      <c r="W179" s="52"/>
      <c r="X179" s="52"/>
      <c r="Y179" s="52"/>
      <c r="Z179" s="52"/>
    </row>
    <row r="180" spans="1:26" ht="45">
      <c r="A180" s="50" t="s">
        <v>281</v>
      </c>
      <c r="B180" s="39" t="s">
        <v>283</v>
      </c>
      <c r="C180" s="51">
        <v>43913</v>
      </c>
      <c r="D180" s="30" t="s">
        <v>40</v>
      </c>
      <c r="E180" s="30" t="s">
        <v>285</v>
      </c>
      <c r="F180" s="42" t="str">
        <f>HYPERLINK("https://s3.amazonaws.com/fn-document-service/file-by-sha384/8dbc9869952784228536f4767937d9153d0d16fcb8992c00d1924a7aecb6b95a13bc6a4b85b05665d2bd7bae03dbfc6c#page=2","City Council Agenda")</f>
        <v>City Council Agenda</v>
      </c>
      <c r="G180" s="38" t="s">
        <v>10</v>
      </c>
      <c r="H180" s="52"/>
      <c r="I180" s="52"/>
      <c r="J180" s="52"/>
      <c r="K180" s="52"/>
      <c r="L180" s="52"/>
      <c r="M180" s="52"/>
      <c r="N180" s="52"/>
      <c r="O180" s="52"/>
      <c r="P180" s="52"/>
      <c r="Q180" s="52"/>
      <c r="R180" s="52"/>
      <c r="S180" s="52"/>
      <c r="T180" s="52"/>
      <c r="U180" s="52"/>
      <c r="V180" s="52"/>
      <c r="W180" s="52"/>
      <c r="X180" s="52"/>
      <c r="Y180" s="52"/>
      <c r="Z180" s="52"/>
    </row>
    <row r="181" spans="1:26" ht="45.75" customHeight="1">
      <c r="A181" s="50" t="s">
        <v>281</v>
      </c>
      <c r="B181" s="39" t="s">
        <v>283</v>
      </c>
      <c r="C181" s="51">
        <v>44025</v>
      </c>
      <c r="D181" s="30" t="s">
        <v>13</v>
      </c>
      <c r="E181" s="30" t="s">
        <v>1151</v>
      </c>
      <c r="F181" s="43" t="s">
        <v>1152</v>
      </c>
      <c r="G181" s="38" t="s">
        <v>10</v>
      </c>
      <c r="H181" s="52"/>
      <c r="I181" s="52"/>
      <c r="J181" s="52"/>
      <c r="K181" s="52"/>
      <c r="L181" s="52"/>
      <c r="M181" s="52"/>
      <c r="N181" s="52"/>
      <c r="O181" s="52"/>
      <c r="P181" s="52"/>
      <c r="Q181" s="52"/>
      <c r="R181" s="52"/>
      <c r="S181" s="52"/>
      <c r="T181" s="52"/>
      <c r="U181" s="52"/>
      <c r="V181" s="52"/>
      <c r="W181" s="52"/>
      <c r="X181" s="52"/>
      <c r="Y181" s="52"/>
      <c r="Z181" s="52"/>
    </row>
    <row r="182" spans="1:26" ht="60">
      <c r="A182" s="50" t="s">
        <v>281</v>
      </c>
      <c r="B182" s="39" t="s">
        <v>286</v>
      </c>
      <c r="C182" s="51">
        <v>43941</v>
      </c>
      <c r="D182" s="30" t="s">
        <v>13</v>
      </c>
      <c r="E182" s="30" t="s">
        <v>287</v>
      </c>
      <c r="F182" s="43" t="s">
        <v>288</v>
      </c>
      <c r="G182" s="38" t="s">
        <v>10</v>
      </c>
      <c r="H182" s="52"/>
      <c r="I182" s="52"/>
      <c r="J182" s="52"/>
      <c r="K182" s="52"/>
      <c r="L182" s="52"/>
      <c r="M182" s="52"/>
      <c r="N182" s="52"/>
      <c r="O182" s="52"/>
      <c r="P182" s="52"/>
      <c r="Q182" s="52"/>
      <c r="R182" s="52"/>
      <c r="S182" s="52"/>
      <c r="T182" s="52"/>
      <c r="U182" s="52"/>
      <c r="V182" s="52"/>
      <c r="W182" s="52"/>
      <c r="X182" s="52"/>
      <c r="Y182" s="52"/>
      <c r="Z182" s="52"/>
    </row>
    <row r="183" spans="1:26" ht="60">
      <c r="A183" s="50" t="s">
        <v>281</v>
      </c>
      <c r="B183" s="39" t="s">
        <v>18</v>
      </c>
      <c r="C183" s="51">
        <v>44069</v>
      </c>
      <c r="D183" s="30" t="s">
        <v>19</v>
      </c>
      <c r="E183" s="30" t="s">
        <v>1383</v>
      </c>
      <c r="F183" s="43" t="s">
        <v>1278</v>
      </c>
      <c r="G183" s="38" t="s">
        <v>10</v>
      </c>
      <c r="H183" s="52"/>
      <c r="I183" s="52"/>
      <c r="J183" s="52"/>
      <c r="K183" s="52"/>
      <c r="L183" s="52"/>
      <c r="M183" s="52"/>
      <c r="N183" s="52"/>
      <c r="O183" s="52"/>
      <c r="P183" s="52"/>
      <c r="Q183" s="52"/>
      <c r="R183" s="52"/>
      <c r="S183" s="52"/>
      <c r="T183" s="52"/>
      <c r="U183" s="52"/>
      <c r="V183" s="52"/>
      <c r="W183" s="52"/>
      <c r="X183" s="52"/>
      <c r="Y183" s="52"/>
      <c r="Z183" s="52"/>
    </row>
    <row r="184" spans="1:26" ht="32.25" customHeight="1">
      <c r="A184" s="50" t="s">
        <v>281</v>
      </c>
      <c r="B184" s="39" t="s">
        <v>18</v>
      </c>
      <c r="C184" s="51">
        <v>43910</v>
      </c>
      <c r="D184" s="30" t="s">
        <v>13</v>
      </c>
      <c r="E184" s="30" t="s">
        <v>289</v>
      </c>
      <c r="F184" s="42" t="str">
        <f>HYPERLINK("https://www.colorado.gov/governor/sites/default/files/inline-files/D%202020%20012%20Order%20Limiting%20Evictions%2C%20Foreclosures%2C%20and%20Public%20Utility%20Disconnections_0.pdf","Executive Order from Governor Jared Polis")</f>
        <v>Executive Order from Governor Jared Polis</v>
      </c>
      <c r="G184" s="38" t="s">
        <v>10</v>
      </c>
      <c r="H184" s="52"/>
      <c r="I184" s="52"/>
      <c r="J184" s="52"/>
      <c r="K184" s="52"/>
      <c r="L184" s="52"/>
      <c r="M184" s="52"/>
      <c r="N184" s="52"/>
      <c r="O184" s="52"/>
      <c r="P184" s="52"/>
      <c r="Q184" s="52"/>
      <c r="R184" s="52"/>
      <c r="S184" s="52"/>
      <c r="T184" s="52"/>
      <c r="U184" s="52"/>
      <c r="V184" s="52"/>
      <c r="W184" s="52"/>
      <c r="X184" s="52"/>
      <c r="Y184" s="52"/>
      <c r="Z184" s="52"/>
    </row>
    <row r="185" spans="1:26" ht="30">
      <c r="A185" s="50" t="s">
        <v>281</v>
      </c>
      <c r="B185" s="39" t="s">
        <v>18</v>
      </c>
      <c r="C185" s="51">
        <v>44004</v>
      </c>
      <c r="D185" s="30" t="s">
        <v>13</v>
      </c>
      <c r="E185" s="30" t="s">
        <v>1090</v>
      </c>
      <c r="F185" s="43" t="s">
        <v>1150</v>
      </c>
      <c r="G185" s="38" t="s">
        <v>10</v>
      </c>
      <c r="H185" s="52"/>
      <c r="I185" s="52"/>
      <c r="J185" s="52"/>
      <c r="K185" s="52"/>
      <c r="L185" s="52"/>
      <c r="M185" s="52"/>
      <c r="N185" s="52"/>
      <c r="O185" s="52"/>
      <c r="P185" s="52"/>
      <c r="Q185" s="52"/>
      <c r="R185" s="52"/>
      <c r="S185" s="52"/>
      <c r="T185" s="52"/>
      <c r="U185" s="52"/>
      <c r="V185" s="52"/>
      <c r="W185" s="52"/>
      <c r="X185" s="52"/>
      <c r="Y185" s="52"/>
      <c r="Z185" s="52"/>
    </row>
    <row r="186" spans="1:26" ht="45">
      <c r="A186" s="50" t="s">
        <v>281</v>
      </c>
      <c r="B186" s="39" t="s">
        <v>18</v>
      </c>
      <c r="C186" s="51">
        <v>44039</v>
      </c>
      <c r="D186" s="30" t="s">
        <v>13</v>
      </c>
      <c r="E186" s="30" t="s">
        <v>1149</v>
      </c>
      <c r="F186" s="43" t="s">
        <v>1133</v>
      </c>
      <c r="G186" s="38" t="s">
        <v>10</v>
      </c>
      <c r="H186" s="52"/>
      <c r="I186" s="52"/>
      <c r="J186" s="52"/>
      <c r="K186" s="52"/>
      <c r="L186" s="52"/>
      <c r="M186" s="52"/>
      <c r="N186" s="52"/>
      <c r="O186" s="52"/>
      <c r="P186" s="52"/>
      <c r="Q186" s="52"/>
      <c r="R186" s="52"/>
      <c r="S186" s="52"/>
      <c r="T186" s="52"/>
      <c r="U186" s="52"/>
      <c r="V186" s="52"/>
      <c r="W186" s="52"/>
      <c r="X186" s="52"/>
      <c r="Y186" s="52"/>
      <c r="Z186" s="52"/>
    </row>
    <row r="187" spans="1:26" ht="62.25" customHeight="1">
      <c r="A187" s="50" t="s">
        <v>281</v>
      </c>
      <c r="B187" s="39" t="s">
        <v>18</v>
      </c>
      <c r="C187" s="51">
        <v>44113</v>
      </c>
      <c r="D187" s="30" t="s">
        <v>13</v>
      </c>
      <c r="E187" s="30" t="s">
        <v>1369</v>
      </c>
      <c r="F187" s="43" t="s">
        <v>1370</v>
      </c>
      <c r="G187" s="38" t="s">
        <v>10</v>
      </c>
      <c r="H187" s="52"/>
      <c r="I187" s="52"/>
      <c r="J187" s="52"/>
      <c r="K187" s="52"/>
      <c r="L187" s="52"/>
      <c r="M187" s="52"/>
      <c r="N187" s="52"/>
      <c r="O187" s="52"/>
      <c r="P187" s="52"/>
      <c r="Q187" s="52"/>
      <c r="R187" s="52"/>
      <c r="S187" s="52"/>
      <c r="T187" s="52"/>
      <c r="U187" s="52"/>
      <c r="V187" s="52"/>
      <c r="W187" s="52"/>
      <c r="X187" s="52"/>
      <c r="Y187" s="52"/>
      <c r="Z187" s="52"/>
    </row>
    <row r="188" spans="1:26" ht="30">
      <c r="A188" s="50" t="s">
        <v>281</v>
      </c>
      <c r="B188" s="39" t="s">
        <v>18</v>
      </c>
      <c r="C188" s="51">
        <v>43901</v>
      </c>
      <c r="D188" s="30" t="s">
        <v>8</v>
      </c>
      <c r="E188" s="30" t="s">
        <v>290</v>
      </c>
      <c r="F188" s="43" t="str">
        <f>HYPERLINK("https://coloradosun.com/2020/04/04/colorado-prisons-jails-coronavirus-covid-criminal-justice/","In Colorado prisons and jails, a piecemeal approach to the threat of coronavirus")</f>
        <v>In Colorado prisons and jails, a piecemeal approach to the threat of coronavirus</v>
      </c>
      <c r="G188" s="38" t="s">
        <v>10</v>
      </c>
      <c r="H188" s="52"/>
      <c r="I188" s="52"/>
      <c r="J188" s="52"/>
      <c r="K188" s="52"/>
      <c r="L188" s="52"/>
      <c r="M188" s="52"/>
      <c r="N188" s="52"/>
      <c r="O188" s="52"/>
      <c r="P188" s="52"/>
      <c r="Q188" s="52"/>
      <c r="R188" s="52"/>
      <c r="S188" s="52"/>
      <c r="T188" s="52"/>
      <c r="U188" s="52"/>
      <c r="V188" s="52"/>
      <c r="W188" s="52"/>
      <c r="X188" s="52"/>
      <c r="Y188" s="52"/>
      <c r="Z188" s="52"/>
    </row>
    <row r="189" spans="1:26" ht="48" customHeight="1">
      <c r="A189" s="50" t="s">
        <v>281</v>
      </c>
      <c r="B189" s="39" t="s">
        <v>18</v>
      </c>
      <c r="C189" s="51">
        <v>43914</v>
      </c>
      <c r="D189" s="30" t="s">
        <v>8</v>
      </c>
      <c r="E189" s="30" t="s">
        <v>1335</v>
      </c>
      <c r="F189" s="43" t="s">
        <v>291</v>
      </c>
      <c r="G189" s="38" t="s">
        <v>10</v>
      </c>
      <c r="H189" s="52"/>
      <c r="I189" s="52"/>
      <c r="J189" s="52"/>
      <c r="K189" s="52"/>
      <c r="L189" s="52"/>
      <c r="M189" s="52"/>
      <c r="N189" s="52"/>
      <c r="O189" s="52"/>
      <c r="P189" s="52"/>
      <c r="Q189" s="52"/>
      <c r="R189" s="52"/>
      <c r="S189" s="52"/>
      <c r="T189" s="52"/>
      <c r="U189" s="52"/>
      <c r="V189" s="52"/>
      <c r="W189" s="52"/>
      <c r="X189" s="52"/>
      <c r="Y189" s="52"/>
      <c r="Z189" s="52"/>
    </row>
    <row r="190" spans="1:26" ht="165">
      <c r="A190" s="50" t="s">
        <v>281</v>
      </c>
      <c r="B190" s="39" t="s">
        <v>18</v>
      </c>
      <c r="C190" s="51">
        <v>43915</v>
      </c>
      <c r="D190" s="30" t="s">
        <v>8</v>
      </c>
      <c r="E190" s="30" t="s">
        <v>292</v>
      </c>
      <c r="F190" s="43" t="s">
        <v>293</v>
      </c>
      <c r="G190" s="38" t="s">
        <v>10</v>
      </c>
      <c r="H190" s="52"/>
      <c r="I190" s="52"/>
      <c r="J190" s="52"/>
      <c r="K190" s="52"/>
      <c r="L190" s="52"/>
      <c r="M190" s="52"/>
      <c r="N190" s="52"/>
      <c r="O190" s="52"/>
      <c r="P190" s="52"/>
      <c r="Q190" s="52"/>
      <c r="R190" s="52"/>
      <c r="S190" s="52"/>
      <c r="T190" s="52"/>
      <c r="U190" s="52"/>
      <c r="V190" s="52"/>
      <c r="W190" s="52"/>
      <c r="X190" s="52"/>
      <c r="Y190" s="52"/>
      <c r="Z190" s="52"/>
    </row>
    <row r="191" spans="1:26" ht="120" customHeight="1">
      <c r="A191" s="50" t="s">
        <v>281</v>
      </c>
      <c r="B191" s="39" t="s">
        <v>18</v>
      </c>
      <c r="C191" s="51">
        <v>44070</v>
      </c>
      <c r="D191" s="30" t="s">
        <v>154</v>
      </c>
      <c r="E191" s="30" t="s">
        <v>1276</v>
      </c>
      <c r="F191" s="43" t="s">
        <v>1277</v>
      </c>
      <c r="G191" s="38" t="s">
        <v>10</v>
      </c>
      <c r="H191" s="52"/>
      <c r="I191" s="52"/>
      <c r="J191" s="52"/>
      <c r="K191" s="52"/>
      <c r="L191" s="52"/>
      <c r="M191" s="52"/>
      <c r="N191" s="52"/>
      <c r="O191" s="52"/>
      <c r="P191" s="52"/>
      <c r="Q191" s="52"/>
      <c r="R191" s="52"/>
      <c r="S191" s="52"/>
      <c r="T191" s="52"/>
      <c r="U191" s="52"/>
      <c r="V191" s="52"/>
      <c r="W191" s="52"/>
      <c r="X191" s="52"/>
      <c r="Y191" s="52"/>
      <c r="Z191" s="52"/>
    </row>
    <row r="192" spans="1:26" ht="75">
      <c r="A192" s="50" t="s">
        <v>294</v>
      </c>
      <c r="B192" s="39" t="s">
        <v>18</v>
      </c>
      <c r="C192" s="51">
        <v>43924</v>
      </c>
      <c r="D192" s="30" t="s">
        <v>19</v>
      </c>
      <c r="E192" s="30" t="s">
        <v>295</v>
      </c>
      <c r="F192" s="42" t="str">
        <f>HYPERLINK("https://portal.ct.gov/-/media/Office-of-the-Governor/Executive-Orders/Lamont-Executive-Orders/Executive-Order-No-7S.pdf","Executive Order No. 7s")</f>
        <v>Executive Order No. 7s</v>
      </c>
      <c r="G192" s="38" t="s">
        <v>10</v>
      </c>
      <c r="H192" s="52"/>
      <c r="I192" s="52"/>
      <c r="J192" s="52"/>
      <c r="K192" s="52"/>
      <c r="L192" s="52"/>
      <c r="M192" s="52"/>
      <c r="N192" s="52"/>
      <c r="O192" s="52"/>
      <c r="P192" s="52"/>
      <c r="Q192" s="52"/>
      <c r="R192" s="52"/>
      <c r="S192" s="52"/>
      <c r="T192" s="52"/>
      <c r="U192" s="52"/>
      <c r="V192" s="52"/>
      <c r="W192" s="52"/>
      <c r="X192" s="52"/>
      <c r="Y192" s="52"/>
      <c r="Z192" s="52"/>
    </row>
    <row r="193" spans="1:26" ht="75">
      <c r="A193" s="50" t="s">
        <v>294</v>
      </c>
      <c r="B193" s="39" t="s">
        <v>0</v>
      </c>
      <c r="C193" s="51">
        <v>44064</v>
      </c>
      <c r="D193" s="30" t="s">
        <v>19</v>
      </c>
      <c r="E193" s="30" t="s">
        <v>1316</v>
      </c>
      <c r="F193" s="43" t="s">
        <v>1317</v>
      </c>
      <c r="G193" s="38" t="s">
        <v>10</v>
      </c>
      <c r="H193" s="52"/>
      <c r="I193" s="52"/>
      <c r="J193" s="52"/>
      <c r="K193" s="52"/>
      <c r="L193" s="52"/>
      <c r="M193" s="52"/>
      <c r="N193" s="52"/>
      <c r="O193" s="52"/>
      <c r="P193" s="52"/>
      <c r="Q193" s="52"/>
      <c r="R193" s="52"/>
      <c r="S193" s="52"/>
      <c r="T193" s="52"/>
      <c r="U193" s="52"/>
      <c r="V193" s="52"/>
      <c r="W193" s="52"/>
      <c r="X193" s="52"/>
      <c r="Y193" s="52"/>
      <c r="Z193" s="52"/>
    </row>
    <row r="194" spans="1:26" ht="32.25" customHeight="1">
      <c r="A194" s="50" t="s">
        <v>294</v>
      </c>
      <c r="B194" s="39" t="s">
        <v>0</v>
      </c>
      <c r="C194" s="51">
        <v>43985</v>
      </c>
      <c r="D194" s="30" t="s">
        <v>13</v>
      </c>
      <c r="E194" s="30" t="s">
        <v>980</v>
      </c>
      <c r="F194" s="43" t="s">
        <v>981</v>
      </c>
      <c r="G194" s="38" t="s">
        <v>10</v>
      </c>
      <c r="H194" s="52"/>
      <c r="I194" s="52"/>
      <c r="J194" s="52"/>
      <c r="K194" s="52"/>
      <c r="L194" s="52"/>
      <c r="M194" s="52"/>
      <c r="N194" s="52"/>
      <c r="O194" s="52"/>
      <c r="P194" s="52"/>
      <c r="Q194" s="52"/>
      <c r="R194" s="52"/>
      <c r="S194" s="52"/>
      <c r="T194" s="52"/>
      <c r="U194" s="52"/>
      <c r="V194" s="52"/>
      <c r="W194" s="52"/>
      <c r="X194" s="52"/>
      <c r="Y194" s="52"/>
      <c r="Z194" s="52"/>
    </row>
    <row r="195" spans="1:26" ht="259.5" customHeight="1">
      <c r="A195" s="50" t="s">
        <v>294</v>
      </c>
      <c r="B195" s="39" t="s">
        <v>0</v>
      </c>
      <c r="C195" s="51">
        <v>44011</v>
      </c>
      <c r="D195" s="30" t="s">
        <v>13</v>
      </c>
      <c r="E195" s="30" t="s">
        <v>1386</v>
      </c>
      <c r="F195" s="43" t="s">
        <v>1091</v>
      </c>
      <c r="G195" s="38" t="s">
        <v>10</v>
      </c>
      <c r="H195" s="52"/>
      <c r="I195" s="52"/>
      <c r="J195" s="52"/>
      <c r="K195" s="52"/>
      <c r="L195" s="52"/>
      <c r="M195" s="52"/>
      <c r="N195" s="52"/>
      <c r="O195" s="52"/>
      <c r="P195" s="52"/>
      <c r="Q195" s="52"/>
      <c r="R195" s="52"/>
      <c r="S195" s="52"/>
      <c r="T195" s="52"/>
      <c r="U195" s="52"/>
      <c r="V195" s="52"/>
      <c r="W195" s="52"/>
      <c r="X195" s="52"/>
      <c r="Y195" s="52"/>
      <c r="Z195" s="52"/>
    </row>
    <row r="196" spans="1:26" ht="30">
      <c r="A196" s="50" t="s">
        <v>294</v>
      </c>
      <c r="B196" s="39" t="s">
        <v>0</v>
      </c>
      <c r="C196" s="51">
        <v>43912</v>
      </c>
      <c r="D196" s="30" t="s">
        <v>296</v>
      </c>
      <c r="E196" s="30" t="s">
        <v>297</v>
      </c>
      <c r="F196" s="42" t="str">
        <f>HYPERLINK("https://portal.ct.gov/-/media/Office-of-the-Governor/Executive-Orders/Lamont-Executive-Orders/Executive-Order-No-7J.pdf?la=en","Executive Order No. 7J")</f>
        <v>Executive Order No. 7J</v>
      </c>
      <c r="G196" s="38" t="s">
        <v>10</v>
      </c>
      <c r="H196" s="52"/>
      <c r="I196" s="52"/>
      <c r="J196" s="52"/>
      <c r="K196" s="52"/>
      <c r="L196" s="52"/>
      <c r="M196" s="52"/>
      <c r="N196" s="52"/>
      <c r="O196" s="52"/>
      <c r="P196" s="52"/>
      <c r="Q196" s="52"/>
      <c r="R196" s="52"/>
      <c r="S196" s="52"/>
      <c r="T196" s="52"/>
      <c r="U196" s="52"/>
      <c r="V196" s="52"/>
      <c r="W196" s="52"/>
      <c r="X196" s="52"/>
      <c r="Y196" s="52"/>
      <c r="Z196" s="52"/>
    </row>
    <row r="197" spans="1:26" ht="30">
      <c r="A197" s="50" t="s">
        <v>298</v>
      </c>
      <c r="B197" s="39" t="s">
        <v>18</v>
      </c>
      <c r="C197" s="51">
        <v>43903</v>
      </c>
      <c r="D197" s="30" t="s">
        <v>19</v>
      </c>
      <c r="E197" s="30" t="s">
        <v>299</v>
      </c>
      <c r="F197" s="42" t="str">
        <f>HYPERLINK("https://courts.delaware.gov/forms/download.aspx?id=120318","Delaware Justice of the Peace issues new standing orders to limit spread of COVID19")</f>
        <v>Delaware Justice of the Peace issues new standing orders to limit spread of COVID19</v>
      </c>
      <c r="G197" s="38" t="s">
        <v>10</v>
      </c>
      <c r="H197" s="52"/>
      <c r="I197" s="52"/>
      <c r="J197" s="52"/>
      <c r="K197" s="52"/>
      <c r="L197" s="52"/>
      <c r="M197" s="52"/>
      <c r="N197" s="52"/>
      <c r="O197" s="52"/>
      <c r="P197" s="52"/>
      <c r="Q197" s="52"/>
      <c r="R197" s="52"/>
      <c r="S197" s="52"/>
      <c r="T197" s="52"/>
      <c r="U197" s="52"/>
      <c r="V197" s="52"/>
      <c r="W197" s="52"/>
      <c r="X197" s="52"/>
      <c r="Y197" s="52"/>
      <c r="Z197" s="52"/>
    </row>
    <row r="198" spans="1:26" ht="60">
      <c r="A198" s="50" t="s">
        <v>298</v>
      </c>
      <c r="B198" s="39" t="s">
        <v>18</v>
      </c>
      <c r="C198" s="51">
        <v>43917</v>
      </c>
      <c r="D198" s="30" t="s">
        <v>13</v>
      </c>
      <c r="E198" s="30" t="s">
        <v>300</v>
      </c>
      <c r="F198" s="42" t="str">
        <f>HYPERLINK("http://www.destatehousing.com/OtherPrograms/ot_dehap.php?utm_source=Delaware+State+Housing+Authority&amp;utm_campaign=d0224d3706-EMAIL_CAMPAIGN_9_26_2019_9_13_COPY_74&amp;utm_medium=email&amp;utm_term=0_3f8e686be9-d0224d3706-293318749","Delaware Housing Assistance Program (DE HAP)")</f>
        <v>Delaware Housing Assistance Program (DE HAP)</v>
      </c>
      <c r="G198" s="38" t="s">
        <v>10</v>
      </c>
      <c r="H198" s="52"/>
      <c r="I198" s="52"/>
      <c r="J198" s="52"/>
      <c r="K198" s="52"/>
      <c r="L198" s="52"/>
      <c r="M198" s="52"/>
      <c r="N198" s="52"/>
      <c r="O198" s="52"/>
      <c r="P198" s="52"/>
      <c r="Q198" s="52"/>
      <c r="R198" s="52"/>
      <c r="S198" s="52"/>
      <c r="T198" s="52"/>
      <c r="U198" s="52"/>
      <c r="V198" s="52"/>
      <c r="W198" s="52"/>
      <c r="X198" s="52"/>
      <c r="Y198" s="52"/>
      <c r="Z198" s="52"/>
    </row>
    <row r="199" spans="1:26" ht="59.25" customHeight="1">
      <c r="A199" s="50" t="s">
        <v>301</v>
      </c>
      <c r="B199" s="39" t="s">
        <v>302</v>
      </c>
      <c r="C199" s="51">
        <v>43903</v>
      </c>
      <c r="D199" s="30" t="s">
        <v>19</v>
      </c>
      <c r="E199" s="30" t="s">
        <v>303</v>
      </c>
      <c r="F199" s="42" t="str">
        <f>HYPERLINK("https://www.dccourts.gov/coronavirus","D.C. COURTS Coronavirus Advisories and Orders")</f>
        <v>D.C. COURTS Coronavirus Advisories and Orders</v>
      </c>
      <c r="G199" s="38" t="s">
        <v>10</v>
      </c>
      <c r="H199" s="52"/>
      <c r="I199" s="52"/>
      <c r="J199" s="52"/>
      <c r="K199" s="52"/>
      <c r="L199" s="52"/>
      <c r="M199" s="52"/>
      <c r="N199" s="52"/>
      <c r="O199" s="52"/>
      <c r="P199" s="52"/>
      <c r="Q199" s="52"/>
      <c r="R199" s="52"/>
      <c r="S199" s="52"/>
      <c r="T199" s="52"/>
      <c r="U199" s="52"/>
      <c r="V199" s="52"/>
      <c r="W199" s="52"/>
      <c r="X199" s="52"/>
      <c r="Y199" s="52"/>
      <c r="Z199" s="52"/>
    </row>
    <row r="200" spans="1:26" ht="75">
      <c r="A200" s="50" t="s">
        <v>301</v>
      </c>
      <c r="B200" s="39" t="s">
        <v>302</v>
      </c>
      <c r="C200" s="51">
        <v>43907</v>
      </c>
      <c r="D200" s="30" t="s">
        <v>49</v>
      </c>
      <c r="E200" s="30" t="s">
        <v>304</v>
      </c>
      <c r="F200" s="42" t="str">
        <f>HYPERLINK("https://www.dcpolicycenter.org/publications/covid19-emergency-legislation/","What the D.C. Council’s emergency COVID-19 legislation does for the District")</f>
        <v>What the D.C. Council’s emergency COVID-19 legislation does for the District</v>
      </c>
      <c r="G200" s="38" t="s">
        <v>10</v>
      </c>
      <c r="H200" s="52"/>
      <c r="I200" s="52"/>
      <c r="J200" s="52"/>
      <c r="K200" s="52"/>
      <c r="L200" s="52"/>
      <c r="M200" s="52"/>
      <c r="N200" s="52"/>
      <c r="O200" s="52"/>
      <c r="P200" s="52"/>
      <c r="Q200" s="52"/>
      <c r="R200" s="52"/>
      <c r="S200" s="52"/>
      <c r="T200" s="52"/>
      <c r="U200" s="52"/>
      <c r="V200" s="52"/>
      <c r="W200" s="52"/>
      <c r="X200" s="52"/>
      <c r="Y200" s="52"/>
      <c r="Z200" s="52"/>
    </row>
    <row r="201" spans="1:26" ht="45">
      <c r="A201" s="50" t="s">
        <v>301</v>
      </c>
      <c r="B201" s="39" t="s">
        <v>302</v>
      </c>
      <c r="C201" s="51">
        <v>43929</v>
      </c>
      <c r="D201" s="30" t="s">
        <v>13</v>
      </c>
      <c r="E201" s="30" t="s">
        <v>1001</v>
      </c>
      <c r="F201" s="43" t="s">
        <v>1002</v>
      </c>
      <c r="G201" s="38" t="s">
        <v>10</v>
      </c>
      <c r="H201" s="52"/>
      <c r="I201" s="52"/>
      <c r="J201" s="52"/>
      <c r="K201" s="52"/>
      <c r="L201" s="52"/>
      <c r="M201" s="52"/>
      <c r="N201" s="52"/>
      <c r="O201" s="52"/>
      <c r="P201" s="52"/>
      <c r="Q201" s="52"/>
      <c r="R201" s="52"/>
      <c r="S201" s="52"/>
      <c r="T201" s="52"/>
      <c r="U201" s="52"/>
      <c r="V201" s="52"/>
      <c r="W201" s="52"/>
      <c r="X201" s="52"/>
      <c r="Y201" s="52"/>
      <c r="Z201" s="52"/>
    </row>
    <row r="202" spans="1:26" ht="30">
      <c r="A202" s="50" t="s">
        <v>301</v>
      </c>
      <c r="B202" s="39" t="s">
        <v>302</v>
      </c>
      <c r="C202" s="51">
        <v>43931</v>
      </c>
      <c r="D202" s="30" t="s">
        <v>13</v>
      </c>
      <c r="E202" s="30" t="s">
        <v>305</v>
      </c>
      <c r="F202" s="42" t="str">
        <f>HYPERLINK("https://www.cnn.com/2020/04/10/politics/rent-relief-programs/index.html","Cities and states launch emergency rent relief programs")</f>
        <v>Cities and states launch emergency rent relief programs</v>
      </c>
      <c r="G202" s="38" t="s">
        <v>10</v>
      </c>
      <c r="H202" s="52"/>
      <c r="I202" s="52"/>
      <c r="J202" s="52"/>
      <c r="K202" s="52"/>
      <c r="L202" s="52"/>
      <c r="M202" s="52"/>
      <c r="N202" s="52"/>
      <c r="O202" s="52"/>
      <c r="P202" s="52"/>
      <c r="Q202" s="52"/>
      <c r="R202" s="52"/>
      <c r="S202" s="52"/>
      <c r="T202" s="52"/>
      <c r="U202" s="52"/>
      <c r="V202" s="52"/>
      <c r="W202" s="52"/>
      <c r="X202" s="52"/>
      <c r="Y202" s="52"/>
      <c r="Z202" s="52"/>
    </row>
    <row r="203" spans="1:26" ht="78" customHeight="1">
      <c r="A203" s="50" t="s">
        <v>301</v>
      </c>
      <c r="B203" s="39" t="s">
        <v>302</v>
      </c>
      <c r="C203" s="51">
        <v>43941</v>
      </c>
      <c r="D203" s="30" t="s">
        <v>13</v>
      </c>
      <c r="E203" s="30" t="s">
        <v>306</v>
      </c>
      <c r="F203" s="42" t="str">
        <f>HYPERLINK("http://lims.dccouncil.us/Legislation/PR23-0787","PR23-0787 - Mortgage Relief Emergency Declaration Resolution of 2020 (aka ""COVID-19 Supplemental Corrections Emergency Declaration Resolution of 2020"") ")</f>
        <v xml:space="preserve">PR23-0787 - Mortgage Relief Emergency Declaration Resolution of 2020 (aka "COVID-19 Supplemental Corrections Emergency Declaration Resolution of 2020") </v>
      </c>
      <c r="G203" s="38" t="s">
        <v>10</v>
      </c>
      <c r="H203" s="52"/>
      <c r="I203" s="52"/>
      <c r="J203" s="52"/>
      <c r="K203" s="52"/>
      <c r="L203" s="52"/>
      <c r="M203" s="52"/>
      <c r="N203" s="52"/>
      <c r="O203" s="52"/>
      <c r="P203" s="52"/>
      <c r="Q203" s="52"/>
      <c r="R203" s="52"/>
      <c r="S203" s="52"/>
      <c r="T203" s="52"/>
      <c r="U203" s="52"/>
      <c r="V203" s="52"/>
      <c r="W203" s="52"/>
      <c r="X203" s="52"/>
      <c r="Y203" s="52"/>
      <c r="Z203" s="52"/>
    </row>
    <row r="204" spans="1:26" ht="45">
      <c r="A204" s="50" t="s">
        <v>301</v>
      </c>
      <c r="B204" s="39" t="s">
        <v>302</v>
      </c>
      <c r="C204" s="51">
        <v>44033</v>
      </c>
      <c r="D204" s="30" t="s">
        <v>13</v>
      </c>
      <c r="E204" s="30" t="s">
        <v>1242</v>
      </c>
      <c r="F204" s="43" t="s">
        <v>1243</v>
      </c>
      <c r="G204" s="38" t="s">
        <v>10</v>
      </c>
      <c r="H204" s="52"/>
      <c r="I204" s="52"/>
      <c r="J204" s="52"/>
      <c r="K204" s="52"/>
      <c r="L204" s="52"/>
      <c r="M204" s="52"/>
      <c r="N204" s="52"/>
      <c r="O204" s="52"/>
      <c r="P204" s="52"/>
      <c r="Q204" s="52"/>
      <c r="R204" s="52"/>
      <c r="S204" s="52"/>
      <c r="T204" s="52"/>
      <c r="U204" s="52"/>
      <c r="V204" s="52"/>
      <c r="W204" s="52"/>
      <c r="X204" s="52"/>
      <c r="Y204" s="52"/>
      <c r="Z204" s="52"/>
    </row>
    <row r="205" spans="1:26" ht="46.5" customHeight="1">
      <c r="A205" s="50" t="s">
        <v>301</v>
      </c>
      <c r="B205" s="39" t="s">
        <v>302</v>
      </c>
      <c r="C205" s="51">
        <v>44036</v>
      </c>
      <c r="D205" s="30" t="s">
        <v>13</v>
      </c>
      <c r="E205" s="30" t="s">
        <v>1229</v>
      </c>
      <c r="F205" s="43" t="s">
        <v>1230</v>
      </c>
      <c r="G205" s="38" t="s">
        <v>10</v>
      </c>
      <c r="H205" s="52"/>
      <c r="I205" s="52"/>
      <c r="J205" s="52"/>
      <c r="K205" s="52"/>
      <c r="L205" s="52"/>
      <c r="M205" s="52"/>
      <c r="N205" s="52"/>
      <c r="O205" s="52"/>
      <c r="P205" s="52"/>
      <c r="Q205" s="52"/>
      <c r="R205" s="52"/>
      <c r="S205" s="52"/>
      <c r="T205" s="52"/>
      <c r="U205" s="52"/>
      <c r="V205" s="52"/>
      <c r="W205" s="52"/>
      <c r="X205" s="52"/>
      <c r="Y205" s="52"/>
      <c r="Z205" s="52"/>
    </row>
    <row r="206" spans="1:26" ht="45">
      <c r="A206" s="50" t="s">
        <v>301</v>
      </c>
      <c r="B206" s="39" t="s">
        <v>302</v>
      </c>
      <c r="C206" s="51">
        <v>44040</v>
      </c>
      <c r="D206" s="30" t="s">
        <v>13</v>
      </c>
      <c r="E206" s="30" t="s">
        <v>1236</v>
      </c>
      <c r="F206" s="43" t="s">
        <v>1237</v>
      </c>
      <c r="G206" s="38" t="s">
        <v>17</v>
      </c>
      <c r="H206" s="52"/>
      <c r="I206" s="52"/>
      <c r="J206" s="52"/>
      <c r="K206" s="52"/>
      <c r="L206" s="52"/>
      <c r="M206" s="52"/>
      <c r="N206" s="52"/>
      <c r="O206" s="52"/>
      <c r="P206" s="52"/>
      <c r="Q206" s="52"/>
      <c r="R206" s="52"/>
      <c r="S206" s="52"/>
      <c r="T206" s="52"/>
      <c r="U206" s="52"/>
      <c r="V206" s="52"/>
      <c r="W206" s="52"/>
      <c r="X206" s="52"/>
      <c r="Y206" s="52"/>
      <c r="Z206" s="52"/>
    </row>
    <row r="207" spans="1:26" ht="30">
      <c r="A207" s="50" t="s">
        <v>301</v>
      </c>
      <c r="B207" s="39" t="s">
        <v>302</v>
      </c>
      <c r="C207" s="51">
        <v>43907</v>
      </c>
      <c r="D207" s="30" t="s">
        <v>8</v>
      </c>
      <c r="E207" s="30" t="s">
        <v>307</v>
      </c>
      <c r="F207" s="42" t="str">
        <f>HYPERLINK("https://www.dcpolicycenter.org/publications/covid19-emergency-legislation/","What the D.C. Council’s emergency COVID-19 legislation does for the District")</f>
        <v>What the D.C. Council’s emergency COVID-19 legislation does for the District</v>
      </c>
      <c r="G207" s="38" t="s">
        <v>10</v>
      </c>
      <c r="H207" s="52"/>
      <c r="I207" s="52"/>
      <c r="J207" s="52"/>
      <c r="K207" s="52"/>
      <c r="L207" s="52"/>
      <c r="M207" s="52"/>
      <c r="N207" s="52"/>
      <c r="O207" s="52"/>
      <c r="P207" s="52"/>
      <c r="Q207" s="52"/>
      <c r="R207" s="52"/>
      <c r="S207" s="52"/>
      <c r="T207" s="52"/>
      <c r="U207" s="52"/>
      <c r="V207" s="52"/>
      <c r="W207" s="52"/>
      <c r="X207" s="52"/>
      <c r="Y207" s="52"/>
      <c r="Z207" s="52"/>
    </row>
    <row r="208" spans="1:26" ht="30">
      <c r="A208" s="30" t="s">
        <v>308</v>
      </c>
      <c r="B208" s="38" t="s">
        <v>309</v>
      </c>
      <c r="C208" s="51">
        <v>43907</v>
      </c>
      <c r="D208" s="30" t="s">
        <v>19</v>
      </c>
      <c r="E208" s="30" t="s">
        <v>310</v>
      </c>
      <c r="F208" s="42" t="str">
        <f>HYPERLINK("https://floridapolitics.com/archives/323854-broward-judge-halts-evictions-coronavirus","Broward judge halts evictions as county grapples with coronavirus impact")</f>
        <v>Broward judge halts evictions as county grapples with coronavirus impact</v>
      </c>
      <c r="G208" s="38" t="s">
        <v>10</v>
      </c>
      <c r="H208" s="52"/>
      <c r="I208" s="52"/>
      <c r="J208" s="52"/>
      <c r="K208" s="52"/>
      <c r="L208" s="52"/>
      <c r="M208" s="52"/>
      <c r="N208" s="52"/>
      <c r="O208" s="52"/>
      <c r="P208" s="52"/>
      <c r="Q208" s="52"/>
      <c r="R208" s="52"/>
      <c r="S208" s="52"/>
      <c r="T208" s="52"/>
      <c r="U208" s="52"/>
      <c r="V208" s="52"/>
      <c r="W208" s="52"/>
      <c r="X208" s="52"/>
      <c r="Y208" s="52"/>
      <c r="Z208" s="52"/>
    </row>
    <row r="209" spans="1:26" ht="45">
      <c r="A209" s="30" t="s">
        <v>308</v>
      </c>
      <c r="B209" s="38" t="s">
        <v>1044</v>
      </c>
      <c r="C209" s="51">
        <v>43993</v>
      </c>
      <c r="D209" s="30" t="s">
        <v>13</v>
      </c>
      <c r="E209" s="30" t="s">
        <v>1045</v>
      </c>
      <c r="F209" s="43" t="s">
        <v>1046</v>
      </c>
      <c r="G209" s="38" t="s">
        <v>10</v>
      </c>
      <c r="H209" s="52"/>
      <c r="I209" s="52"/>
      <c r="J209" s="52"/>
      <c r="K209" s="52"/>
      <c r="L209" s="52"/>
      <c r="M209" s="52"/>
      <c r="N209" s="52"/>
      <c r="O209" s="52"/>
      <c r="P209" s="52"/>
      <c r="Q209" s="52"/>
      <c r="R209" s="52"/>
      <c r="S209" s="52"/>
      <c r="T209" s="52"/>
      <c r="U209" s="52"/>
      <c r="V209" s="52"/>
      <c r="W209" s="52"/>
      <c r="X209" s="52"/>
      <c r="Y209" s="52"/>
      <c r="Z209" s="52"/>
    </row>
    <row r="210" spans="1:26" ht="49.5" customHeight="1">
      <c r="A210" s="30" t="s">
        <v>308</v>
      </c>
      <c r="B210" s="38" t="s">
        <v>1292</v>
      </c>
      <c r="C210" s="51"/>
      <c r="D210" s="30" t="s">
        <v>13</v>
      </c>
      <c r="E210" s="30" t="s">
        <v>1293</v>
      </c>
      <c r="F210" s="43" t="s">
        <v>1294</v>
      </c>
      <c r="G210" s="38" t="s">
        <v>10</v>
      </c>
      <c r="H210" s="52"/>
      <c r="I210" s="52"/>
      <c r="J210" s="52"/>
      <c r="K210" s="52"/>
      <c r="L210" s="52"/>
      <c r="M210" s="52"/>
      <c r="N210" s="52"/>
      <c r="O210" s="52"/>
      <c r="P210" s="52"/>
      <c r="Q210" s="52"/>
      <c r="R210" s="52"/>
      <c r="S210" s="52"/>
      <c r="T210" s="52"/>
      <c r="U210" s="52"/>
      <c r="V210" s="52"/>
      <c r="W210" s="52"/>
      <c r="X210" s="52"/>
      <c r="Y210" s="52"/>
      <c r="Z210" s="52"/>
    </row>
    <row r="211" spans="1:26" ht="60">
      <c r="A211" s="30" t="s">
        <v>308</v>
      </c>
      <c r="B211" s="38" t="s">
        <v>311</v>
      </c>
      <c r="C211" s="51">
        <v>43958</v>
      </c>
      <c r="D211" s="30" t="s">
        <v>13</v>
      </c>
      <c r="E211" s="30" t="s">
        <v>312</v>
      </c>
      <c r="F211" s="43" t="s">
        <v>313</v>
      </c>
      <c r="G211" s="38" t="s">
        <v>10</v>
      </c>
      <c r="H211" s="52"/>
      <c r="I211" s="52"/>
      <c r="J211" s="52"/>
      <c r="K211" s="52"/>
      <c r="L211" s="52"/>
      <c r="M211" s="52"/>
      <c r="N211" s="52"/>
      <c r="O211" s="52"/>
      <c r="P211" s="52"/>
      <c r="Q211" s="52"/>
      <c r="R211" s="52"/>
      <c r="S211" s="52"/>
      <c r="T211" s="52"/>
      <c r="U211" s="52"/>
      <c r="V211" s="52"/>
      <c r="W211" s="52"/>
      <c r="X211" s="52"/>
      <c r="Y211" s="52"/>
      <c r="Z211" s="52"/>
    </row>
    <row r="212" spans="1:26" ht="60">
      <c r="A212" s="30" t="s">
        <v>308</v>
      </c>
      <c r="B212" s="38" t="s">
        <v>314</v>
      </c>
      <c r="C212" s="51">
        <v>43913</v>
      </c>
      <c r="D212" s="30" t="s">
        <v>19</v>
      </c>
      <c r="E212" s="30" t="s">
        <v>1336</v>
      </c>
      <c r="F212" s="42" t="str">
        <f>HYPERLINK("http://www2.duvalclerk.com/resources/adobe/covid19/Administrative_Order_2020_07.pdf","Administrative Order No. 2020-07:  Temporary suspension of circuit and county court foreclosure sales and execution of possessory writs in Duval County")</f>
        <v>Administrative Order No. 2020-07:  Temporary suspension of circuit and county court foreclosure sales and execution of possessory writs in Duval County</v>
      </c>
      <c r="G212" s="38" t="s">
        <v>10</v>
      </c>
      <c r="H212" s="52"/>
      <c r="I212" s="52"/>
      <c r="J212" s="52"/>
      <c r="K212" s="52"/>
      <c r="L212" s="52"/>
      <c r="M212" s="52"/>
      <c r="N212" s="52"/>
      <c r="O212" s="52"/>
      <c r="P212" s="52"/>
      <c r="Q212" s="52"/>
      <c r="R212" s="52"/>
      <c r="S212" s="52"/>
      <c r="T212" s="52"/>
      <c r="U212" s="52"/>
      <c r="V212" s="52"/>
      <c r="W212" s="52"/>
      <c r="X212" s="52"/>
      <c r="Y212" s="52"/>
      <c r="Z212" s="52"/>
    </row>
    <row r="213" spans="1:26" ht="60">
      <c r="A213" s="30" t="s">
        <v>308</v>
      </c>
      <c r="B213" s="38" t="s">
        <v>104</v>
      </c>
      <c r="C213" s="51">
        <v>43935</v>
      </c>
      <c r="D213" s="30" t="s">
        <v>19</v>
      </c>
      <c r="E213" s="30" t="s">
        <v>315</v>
      </c>
      <c r="F213" s="42" t="str">
        <f>HYPERLINK("https://s3.amazonaws.com/fn-document-service/file-by-sha384/5ca72e351b5da74780629f6823286b3ef94f84e7a7d61baf57d8c4445bb8b66a545156eeb953d748b2a7823d3f47b86e#page=6","City Council Agenda")</f>
        <v>City Council Agenda</v>
      </c>
      <c r="G213" s="38" t="s">
        <v>10</v>
      </c>
      <c r="H213" s="52"/>
      <c r="I213" s="52"/>
      <c r="J213" s="52"/>
      <c r="K213" s="52"/>
      <c r="L213" s="52"/>
      <c r="M213" s="52"/>
      <c r="N213" s="52"/>
      <c r="O213" s="52"/>
      <c r="P213" s="52"/>
      <c r="Q213" s="52"/>
      <c r="R213" s="52"/>
      <c r="S213" s="52"/>
      <c r="T213" s="52"/>
      <c r="U213" s="52"/>
      <c r="V213" s="52"/>
      <c r="W213" s="52"/>
      <c r="X213" s="52"/>
      <c r="Y213" s="52"/>
      <c r="Z213" s="52"/>
    </row>
    <row r="214" spans="1:26" ht="45">
      <c r="A214" s="30" t="s">
        <v>308</v>
      </c>
      <c r="B214" s="38" t="s">
        <v>316</v>
      </c>
      <c r="C214" s="51">
        <v>43949</v>
      </c>
      <c r="D214" s="30" t="s">
        <v>13</v>
      </c>
      <c r="E214" s="30" t="s">
        <v>317</v>
      </c>
      <c r="F214" s="43" t="str">
        <f>HYPERLINK("https://s3.amazonaws.com/fn-document-service/file-by-sha384/9ad6475e1d194955407b4227a193f10334149ed51eafd95573cf11f5c38fb2c9093dc84bb754b555139f0044836a35c2#page=6","City Council Agenda")</f>
        <v>City Council Agenda</v>
      </c>
      <c r="G214" s="38" t="s">
        <v>10</v>
      </c>
      <c r="H214" s="52"/>
      <c r="I214" s="52"/>
      <c r="J214" s="52"/>
      <c r="K214" s="52"/>
      <c r="L214" s="52"/>
      <c r="M214" s="52"/>
      <c r="N214" s="52"/>
      <c r="O214" s="52"/>
      <c r="P214" s="52"/>
      <c r="Q214" s="52"/>
      <c r="R214" s="52"/>
      <c r="S214" s="52"/>
      <c r="T214" s="52"/>
      <c r="U214" s="52"/>
      <c r="V214" s="52"/>
      <c r="W214" s="52"/>
      <c r="X214" s="52"/>
      <c r="Y214" s="52"/>
      <c r="Z214" s="52"/>
    </row>
    <row r="215" spans="1:26" ht="30">
      <c r="A215" s="30" t="s">
        <v>308</v>
      </c>
      <c r="B215" s="38" t="s">
        <v>318</v>
      </c>
      <c r="C215" s="51">
        <v>43913</v>
      </c>
      <c r="D215" s="30" t="s">
        <v>19</v>
      </c>
      <c r="E215" s="30" t="s">
        <v>319</v>
      </c>
      <c r="F215" s="42" t="str">
        <f>HYPERLINK("https://www.hillsclerk.com/About-Us/Public-Information"," CLERK OF COURT &amp; COMPTROLLER HILLSBOROUGH COUNTY, FLORIDA")</f>
        <v xml:space="preserve"> CLERK OF COURT &amp; COMPTROLLER HILLSBOROUGH COUNTY, FLORIDA</v>
      </c>
      <c r="G215" s="38" t="s">
        <v>10</v>
      </c>
      <c r="H215" s="52"/>
      <c r="I215" s="52"/>
      <c r="J215" s="52"/>
      <c r="K215" s="52"/>
      <c r="L215" s="52"/>
      <c r="M215" s="52"/>
      <c r="N215" s="52"/>
      <c r="O215" s="52"/>
      <c r="P215" s="52"/>
      <c r="Q215" s="52"/>
      <c r="R215" s="52"/>
      <c r="S215" s="52"/>
      <c r="T215" s="52"/>
      <c r="U215" s="52"/>
      <c r="V215" s="52"/>
      <c r="W215" s="52"/>
      <c r="X215" s="52"/>
      <c r="Y215" s="52"/>
      <c r="Z215" s="52"/>
    </row>
    <row r="216" spans="1:26" ht="30">
      <c r="A216" s="30" t="s">
        <v>308</v>
      </c>
      <c r="B216" s="38" t="s">
        <v>318</v>
      </c>
      <c r="C216" s="51">
        <v>43909</v>
      </c>
      <c r="D216" s="30" t="s">
        <v>8</v>
      </c>
      <c r="E216" s="30" t="s">
        <v>320</v>
      </c>
      <c r="F216" s="42" t="str">
        <f>HYPERLINK("https://www.abcactionnews.com/news/region-hillsborough/164-low-level-nonviolent-offenders-being-released-from-hillsborough-county-jails","164 'low level, nonviolent' offenders being released from Hillsborough County jails")</f>
        <v>164 'low level, nonviolent' offenders being released from Hillsborough County jails</v>
      </c>
      <c r="G216" s="38" t="s">
        <v>10</v>
      </c>
      <c r="H216" s="52"/>
      <c r="I216" s="52"/>
      <c r="J216" s="52"/>
      <c r="K216" s="52"/>
      <c r="L216" s="52"/>
      <c r="M216" s="52"/>
      <c r="N216" s="52"/>
      <c r="O216" s="52"/>
      <c r="P216" s="52"/>
      <c r="Q216" s="52"/>
      <c r="R216" s="52"/>
      <c r="S216" s="52"/>
      <c r="T216" s="52"/>
      <c r="U216" s="52"/>
      <c r="V216" s="52"/>
      <c r="W216" s="52"/>
      <c r="X216" s="52"/>
      <c r="Y216" s="52"/>
      <c r="Z216" s="52"/>
    </row>
    <row r="217" spans="1:26" ht="45">
      <c r="A217" s="30" t="s">
        <v>308</v>
      </c>
      <c r="B217" s="38" t="s">
        <v>321</v>
      </c>
      <c r="C217" s="51">
        <v>43948</v>
      </c>
      <c r="D217" s="30" t="s">
        <v>13</v>
      </c>
      <c r="E217" s="30" t="s">
        <v>322</v>
      </c>
      <c r="F217" s="43" t="s">
        <v>68</v>
      </c>
      <c r="G217" s="38" t="s">
        <v>17</v>
      </c>
      <c r="H217" s="52"/>
      <c r="I217" s="52"/>
      <c r="J217" s="52"/>
      <c r="K217" s="52"/>
      <c r="L217" s="52"/>
      <c r="M217" s="52"/>
      <c r="N217" s="52"/>
      <c r="O217" s="52"/>
      <c r="P217" s="52"/>
      <c r="Q217" s="52"/>
      <c r="R217" s="52"/>
      <c r="S217" s="52"/>
      <c r="T217" s="52"/>
      <c r="U217" s="52"/>
      <c r="V217" s="52"/>
      <c r="W217" s="52"/>
      <c r="X217" s="52"/>
      <c r="Y217" s="52"/>
      <c r="Z217" s="52"/>
    </row>
    <row r="218" spans="1:26" ht="45">
      <c r="A218" s="30" t="s">
        <v>308</v>
      </c>
      <c r="B218" s="38" t="s">
        <v>323</v>
      </c>
      <c r="C218" s="51">
        <v>43921</v>
      </c>
      <c r="D218" s="30" t="s">
        <v>13</v>
      </c>
      <c r="E218" s="30" t="s">
        <v>324</v>
      </c>
      <c r="F218" s="42" t="str">
        <f>HYPERLINK("https://www.clickorlando.com/news/local/2020/03/31/city-of-kissimmee-to-provide-foreclosure-rental-assistance-for-those-impacted-by-covid-19/","City of Kissimmee to provide foreclosure, rental assistance for those impacted by COVID-19")</f>
        <v>City of Kissimmee to provide foreclosure, rental assistance for those impacted by COVID-19</v>
      </c>
      <c r="G218" s="38" t="s">
        <v>10</v>
      </c>
      <c r="H218" s="52"/>
      <c r="I218" s="52"/>
      <c r="J218" s="52"/>
      <c r="K218" s="52"/>
      <c r="L218" s="52"/>
      <c r="M218" s="52"/>
      <c r="N218" s="52"/>
      <c r="O218" s="52"/>
      <c r="P218" s="52"/>
      <c r="Q218" s="52"/>
      <c r="R218" s="52"/>
      <c r="S218" s="52"/>
      <c r="T218" s="52"/>
      <c r="U218" s="52"/>
      <c r="V218" s="52"/>
      <c r="W218" s="52"/>
      <c r="X218" s="52"/>
      <c r="Y218" s="52"/>
      <c r="Z218" s="52"/>
    </row>
    <row r="219" spans="1:26" ht="60">
      <c r="A219" s="30" t="s">
        <v>308</v>
      </c>
      <c r="B219" s="38" t="s">
        <v>325</v>
      </c>
      <c r="C219" s="51">
        <v>43949</v>
      </c>
      <c r="D219" s="30" t="s">
        <v>13</v>
      </c>
      <c r="E219" s="30" t="s">
        <v>326</v>
      </c>
      <c r="F219" s="43" t="s">
        <v>327</v>
      </c>
      <c r="G219" s="38" t="s">
        <v>10</v>
      </c>
      <c r="H219" s="52"/>
      <c r="I219" s="52"/>
      <c r="J219" s="52"/>
      <c r="K219" s="52"/>
      <c r="L219" s="52"/>
      <c r="M219" s="52"/>
      <c r="N219" s="52"/>
      <c r="O219" s="52"/>
      <c r="P219" s="52"/>
      <c r="Q219" s="52"/>
      <c r="R219" s="52"/>
      <c r="S219" s="52"/>
      <c r="T219" s="52"/>
      <c r="U219" s="52"/>
      <c r="V219" s="52"/>
      <c r="W219" s="52"/>
      <c r="X219" s="52"/>
      <c r="Y219" s="52"/>
      <c r="Z219" s="52"/>
    </row>
    <row r="220" spans="1:26" ht="92.25" customHeight="1">
      <c r="A220" s="30" t="s">
        <v>308</v>
      </c>
      <c r="B220" s="38" t="s">
        <v>1295</v>
      </c>
      <c r="C220" s="51">
        <v>44033</v>
      </c>
      <c r="D220" s="30" t="s">
        <v>13</v>
      </c>
      <c r="E220" s="30" t="s">
        <v>1296</v>
      </c>
      <c r="F220" s="43" t="s">
        <v>1297</v>
      </c>
      <c r="G220" s="38" t="s">
        <v>10</v>
      </c>
      <c r="H220" s="52"/>
      <c r="I220" s="52"/>
      <c r="J220" s="52"/>
      <c r="K220" s="52"/>
      <c r="L220" s="52"/>
      <c r="M220" s="52"/>
      <c r="N220" s="52"/>
      <c r="O220" s="52"/>
      <c r="P220" s="52"/>
      <c r="Q220" s="52"/>
      <c r="R220" s="52"/>
      <c r="S220" s="52"/>
      <c r="T220" s="52"/>
      <c r="U220" s="52"/>
      <c r="V220" s="52"/>
      <c r="W220" s="52"/>
      <c r="X220" s="52"/>
      <c r="Y220" s="52"/>
      <c r="Z220" s="52"/>
    </row>
    <row r="221" spans="1:26" ht="60">
      <c r="A221" s="30" t="s">
        <v>308</v>
      </c>
      <c r="B221" s="38" t="s">
        <v>1020</v>
      </c>
      <c r="C221" s="51">
        <v>43955</v>
      </c>
      <c r="D221" s="30" t="s">
        <v>13</v>
      </c>
      <c r="E221" s="30" t="s">
        <v>1021</v>
      </c>
      <c r="F221" s="43" t="s">
        <v>1022</v>
      </c>
      <c r="G221" s="38" t="s">
        <v>10</v>
      </c>
      <c r="H221" s="52"/>
      <c r="I221" s="52"/>
      <c r="J221" s="52"/>
      <c r="K221" s="52"/>
      <c r="L221" s="52"/>
      <c r="M221" s="52"/>
      <c r="N221" s="52"/>
      <c r="O221" s="52"/>
      <c r="P221" s="52"/>
      <c r="Q221" s="52"/>
      <c r="R221" s="52"/>
      <c r="S221" s="52"/>
      <c r="T221" s="52"/>
      <c r="U221" s="52"/>
      <c r="V221" s="52"/>
      <c r="W221" s="52"/>
      <c r="X221" s="52"/>
      <c r="Y221" s="52"/>
      <c r="Z221" s="52"/>
    </row>
    <row r="222" spans="1:26" ht="45">
      <c r="A222" s="30" t="s">
        <v>308</v>
      </c>
      <c r="B222" s="38" t="s">
        <v>328</v>
      </c>
      <c r="C222" s="51">
        <v>43966</v>
      </c>
      <c r="D222" s="30" t="s">
        <v>13</v>
      </c>
      <c r="E222" s="30" t="s">
        <v>329</v>
      </c>
      <c r="F222" s="43" t="s">
        <v>330</v>
      </c>
      <c r="G222" s="38" t="s">
        <v>10</v>
      </c>
      <c r="H222" s="52"/>
      <c r="I222" s="52"/>
      <c r="J222" s="52"/>
      <c r="K222" s="52"/>
      <c r="L222" s="52"/>
      <c r="M222" s="52"/>
      <c r="N222" s="52"/>
      <c r="O222" s="52"/>
      <c r="P222" s="52"/>
      <c r="Q222" s="52"/>
      <c r="R222" s="52"/>
      <c r="S222" s="52"/>
      <c r="T222" s="52"/>
      <c r="U222" s="52"/>
      <c r="V222" s="52"/>
      <c r="W222" s="52"/>
      <c r="X222" s="52"/>
      <c r="Y222" s="52"/>
      <c r="Z222" s="52"/>
    </row>
    <row r="223" spans="1:26" ht="60">
      <c r="A223" s="30" t="s">
        <v>308</v>
      </c>
      <c r="B223" s="38" t="s">
        <v>328</v>
      </c>
      <c r="C223" s="51">
        <v>44147</v>
      </c>
      <c r="D223" s="30" t="s">
        <v>13</v>
      </c>
      <c r="E223" s="30" t="s">
        <v>1433</v>
      </c>
      <c r="F223" s="43" t="s">
        <v>1434</v>
      </c>
      <c r="G223" s="38" t="s">
        <v>10</v>
      </c>
      <c r="H223" s="52"/>
      <c r="I223" s="52"/>
      <c r="J223" s="52"/>
      <c r="K223" s="52"/>
      <c r="L223" s="52"/>
      <c r="M223" s="52"/>
      <c r="N223" s="52"/>
      <c r="O223" s="52"/>
      <c r="P223" s="52"/>
      <c r="Q223" s="52"/>
      <c r="R223" s="52"/>
      <c r="S223" s="52"/>
      <c r="T223" s="52"/>
      <c r="U223" s="52"/>
      <c r="V223" s="52"/>
      <c r="W223" s="52"/>
      <c r="X223" s="52"/>
      <c r="Y223" s="52"/>
      <c r="Z223" s="52"/>
    </row>
    <row r="224" spans="1:26" ht="30">
      <c r="A224" s="30" t="s">
        <v>308</v>
      </c>
      <c r="B224" s="38" t="s">
        <v>982</v>
      </c>
      <c r="C224" s="51">
        <v>43987</v>
      </c>
      <c r="D224" s="30" t="s">
        <v>13</v>
      </c>
      <c r="E224" s="30" t="s">
        <v>983</v>
      </c>
      <c r="F224" s="42" t="s">
        <v>984</v>
      </c>
      <c r="G224" s="38" t="s">
        <v>10</v>
      </c>
      <c r="H224" s="52"/>
      <c r="I224" s="52"/>
      <c r="J224" s="52"/>
      <c r="K224" s="52"/>
      <c r="L224" s="52"/>
      <c r="M224" s="52"/>
      <c r="N224" s="52"/>
      <c r="O224" s="52"/>
      <c r="P224" s="52"/>
      <c r="Q224" s="52"/>
      <c r="R224" s="52"/>
      <c r="S224" s="52"/>
      <c r="T224" s="52"/>
      <c r="U224" s="52"/>
      <c r="V224" s="52"/>
      <c r="W224" s="52"/>
      <c r="X224" s="52"/>
      <c r="Y224" s="52"/>
      <c r="Z224" s="52"/>
    </row>
    <row r="225" spans="1:26" ht="30">
      <c r="A225" s="30" t="s">
        <v>308</v>
      </c>
      <c r="B225" s="38" t="s">
        <v>331</v>
      </c>
      <c r="C225" s="51">
        <v>43902</v>
      </c>
      <c r="D225" s="30" t="s">
        <v>19</v>
      </c>
      <c r="E225" s="30" t="s">
        <v>332</v>
      </c>
      <c r="F225" s="42" t="s">
        <v>333</v>
      </c>
      <c r="G225" s="38" t="s">
        <v>10</v>
      </c>
      <c r="H225" s="52"/>
      <c r="I225" s="52"/>
      <c r="J225" s="52"/>
      <c r="K225" s="52"/>
      <c r="L225" s="52"/>
      <c r="M225" s="52"/>
      <c r="N225" s="52"/>
      <c r="O225" s="52"/>
      <c r="P225" s="52"/>
      <c r="Q225" s="52"/>
      <c r="R225" s="52"/>
      <c r="S225" s="52"/>
      <c r="T225" s="52"/>
      <c r="U225" s="52"/>
      <c r="V225" s="52"/>
      <c r="W225" s="52"/>
      <c r="X225" s="52"/>
      <c r="Y225" s="52"/>
      <c r="Z225" s="52"/>
    </row>
    <row r="226" spans="1:26" ht="32.25" customHeight="1">
      <c r="A226" s="30" t="s">
        <v>308</v>
      </c>
      <c r="B226" s="38" t="s">
        <v>331</v>
      </c>
      <c r="C226" s="51">
        <v>44036</v>
      </c>
      <c r="D226" s="30" t="s">
        <v>13</v>
      </c>
      <c r="E226" s="30" t="s">
        <v>1156</v>
      </c>
      <c r="F226" s="43" t="s">
        <v>1144</v>
      </c>
      <c r="G226" s="38" t="s">
        <v>10</v>
      </c>
      <c r="H226" s="52"/>
      <c r="I226" s="52"/>
      <c r="J226" s="52"/>
      <c r="K226" s="52"/>
      <c r="L226" s="52"/>
      <c r="M226" s="52"/>
      <c r="N226" s="52"/>
      <c r="O226" s="52"/>
      <c r="P226" s="52"/>
      <c r="Q226" s="52"/>
      <c r="R226" s="52"/>
      <c r="S226" s="52"/>
      <c r="T226" s="52"/>
      <c r="U226" s="52"/>
      <c r="V226" s="52"/>
      <c r="W226" s="52"/>
      <c r="X226" s="52"/>
      <c r="Y226" s="52"/>
      <c r="Z226" s="52"/>
    </row>
    <row r="227" spans="1:26" ht="30">
      <c r="A227" s="30" t="s">
        <v>308</v>
      </c>
      <c r="B227" s="38" t="s">
        <v>1298</v>
      </c>
      <c r="C227" s="51">
        <v>44111</v>
      </c>
      <c r="D227" s="30" t="s">
        <v>13</v>
      </c>
      <c r="E227" s="30" t="s">
        <v>1299</v>
      </c>
      <c r="F227" s="43" t="s">
        <v>1300</v>
      </c>
      <c r="G227" s="38" t="s">
        <v>10</v>
      </c>
      <c r="H227" s="52"/>
      <c r="I227" s="52"/>
      <c r="J227" s="52"/>
      <c r="K227" s="52"/>
      <c r="L227" s="52"/>
      <c r="M227" s="52"/>
      <c r="N227" s="52"/>
      <c r="O227" s="52"/>
      <c r="P227" s="52"/>
      <c r="Q227" s="52"/>
      <c r="R227" s="52"/>
      <c r="S227" s="52"/>
      <c r="T227" s="52"/>
      <c r="U227" s="52"/>
      <c r="V227" s="52"/>
      <c r="W227" s="52"/>
      <c r="X227" s="52"/>
      <c r="Y227" s="52"/>
      <c r="Z227" s="52"/>
    </row>
    <row r="228" spans="1:26" ht="30">
      <c r="A228" s="30" t="s">
        <v>308</v>
      </c>
      <c r="B228" s="38" t="s">
        <v>334</v>
      </c>
      <c r="C228" s="51">
        <v>43906</v>
      </c>
      <c r="D228" s="30" t="s">
        <v>19</v>
      </c>
      <c r="E228" s="30" t="s">
        <v>335</v>
      </c>
      <c r="F228" s="42" t="str">
        <f>HYPERLINK("https://www.clickorlando.com/news/local/2020/03/16/orange-county-suspends-all-eviction-activities-amid-spread-of-coronavirus/","Orange County suspends evictions amid coronavirus fears")</f>
        <v>Orange County suspends evictions amid coronavirus fears</v>
      </c>
      <c r="G228" s="38" t="s">
        <v>10</v>
      </c>
      <c r="H228" s="52"/>
      <c r="I228" s="52"/>
      <c r="J228" s="52"/>
      <c r="K228" s="52"/>
      <c r="L228" s="52"/>
      <c r="M228" s="52"/>
      <c r="N228" s="52"/>
      <c r="O228" s="52"/>
      <c r="P228" s="52"/>
      <c r="Q228" s="52"/>
      <c r="R228" s="52"/>
      <c r="S228" s="52"/>
      <c r="T228" s="52"/>
      <c r="U228" s="52"/>
      <c r="V228" s="52"/>
      <c r="W228" s="52"/>
      <c r="X228" s="52"/>
      <c r="Y228" s="52"/>
      <c r="Z228" s="52"/>
    </row>
    <row r="229" spans="1:26" ht="45">
      <c r="A229" s="30" t="s">
        <v>308</v>
      </c>
      <c r="B229" s="38" t="s">
        <v>334</v>
      </c>
      <c r="C229" s="51">
        <v>43913</v>
      </c>
      <c r="D229" s="30" t="s">
        <v>13</v>
      </c>
      <c r="E229" s="30" t="s">
        <v>336</v>
      </c>
      <c r="F229" s="42" t="str">
        <f>HYPERLINK("https://www.wftv.com/news/local/worried-about-making-rent-here-are-assistance-programs-available-central-florida-during-coronavirus-pandemic/OPBKGM332ZCSPBCJ2FV2HBWUJQ/","Worried about making rent? Here are assistance programs available in Central Florida during coronavirus pandemic")</f>
        <v>Worried about making rent? Here are assistance programs available in Central Florida during coronavirus pandemic</v>
      </c>
      <c r="G229" s="38" t="s">
        <v>10</v>
      </c>
      <c r="H229" s="52"/>
      <c r="I229" s="52"/>
      <c r="J229" s="52"/>
      <c r="K229" s="52"/>
      <c r="L229" s="52"/>
      <c r="M229" s="52"/>
      <c r="N229" s="52"/>
      <c r="O229" s="52"/>
      <c r="P229" s="52"/>
      <c r="Q229" s="52"/>
      <c r="R229" s="52"/>
      <c r="S229" s="52"/>
      <c r="T229" s="52"/>
      <c r="U229" s="52"/>
      <c r="V229" s="52"/>
      <c r="W229" s="52"/>
      <c r="X229" s="52"/>
      <c r="Y229" s="52"/>
      <c r="Z229" s="52"/>
    </row>
    <row r="230" spans="1:26" ht="60" customHeight="1">
      <c r="A230" s="30" t="s">
        <v>308</v>
      </c>
      <c r="B230" s="38" t="s">
        <v>1153</v>
      </c>
      <c r="C230" s="51">
        <v>44036</v>
      </c>
      <c r="D230" s="30" t="s">
        <v>13</v>
      </c>
      <c r="E230" s="30" t="s">
        <v>1155</v>
      </c>
      <c r="F230" s="43" t="s">
        <v>1154</v>
      </c>
      <c r="G230" s="38" t="s">
        <v>51</v>
      </c>
      <c r="H230" s="52"/>
      <c r="I230" s="52"/>
      <c r="J230" s="52"/>
      <c r="K230" s="52"/>
      <c r="L230" s="52"/>
      <c r="M230" s="52"/>
      <c r="N230" s="52"/>
      <c r="O230" s="52"/>
      <c r="P230" s="52"/>
      <c r="Q230" s="52"/>
      <c r="R230" s="52"/>
      <c r="S230" s="52"/>
      <c r="T230" s="52"/>
      <c r="U230" s="52"/>
      <c r="V230" s="52"/>
      <c r="W230" s="52"/>
      <c r="X230" s="52"/>
      <c r="Y230" s="52"/>
      <c r="Z230" s="52"/>
    </row>
    <row r="231" spans="1:26" ht="45">
      <c r="A231" s="30" t="s">
        <v>308</v>
      </c>
      <c r="B231" s="38" t="s">
        <v>337</v>
      </c>
      <c r="C231" s="51">
        <v>43977</v>
      </c>
      <c r="D231" s="30" t="s">
        <v>13</v>
      </c>
      <c r="E231" s="30" t="s">
        <v>338</v>
      </c>
      <c r="F231" s="43" t="s">
        <v>339</v>
      </c>
      <c r="G231" s="38" t="s">
        <v>10</v>
      </c>
      <c r="H231" s="52"/>
      <c r="I231" s="52"/>
      <c r="J231" s="52"/>
      <c r="K231" s="52"/>
      <c r="L231" s="52"/>
      <c r="M231" s="52"/>
      <c r="N231" s="52"/>
      <c r="O231" s="52"/>
      <c r="P231" s="52"/>
      <c r="Q231" s="52"/>
      <c r="R231" s="52"/>
      <c r="S231" s="52"/>
      <c r="T231" s="52"/>
      <c r="U231" s="52"/>
      <c r="V231" s="52"/>
      <c r="W231" s="52"/>
      <c r="X231" s="52"/>
      <c r="Y231" s="52"/>
      <c r="Z231" s="52"/>
    </row>
    <row r="232" spans="1:26" ht="21.75" customHeight="1">
      <c r="A232" s="30" t="s">
        <v>308</v>
      </c>
      <c r="B232" s="38" t="s">
        <v>340</v>
      </c>
      <c r="C232" s="51">
        <v>43949</v>
      </c>
      <c r="D232" s="30" t="s">
        <v>40</v>
      </c>
      <c r="E232" s="30" t="s">
        <v>341</v>
      </c>
      <c r="F232" s="43" t="s">
        <v>342</v>
      </c>
      <c r="G232" s="38" t="s">
        <v>10</v>
      </c>
      <c r="H232" s="52"/>
      <c r="I232" s="52"/>
      <c r="J232" s="52"/>
      <c r="K232" s="52"/>
      <c r="L232" s="52"/>
      <c r="M232" s="52"/>
      <c r="N232" s="52"/>
      <c r="O232" s="52"/>
      <c r="P232" s="52"/>
      <c r="Q232" s="52"/>
      <c r="R232" s="52"/>
      <c r="S232" s="52"/>
      <c r="T232" s="52"/>
      <c r="U232" s="52"/>
      <c r="V232" s="52"/>
      <c r="W232" s="52"/>
      <c r="X232" s="52"/>
      <c r="Y232" s="52"/>
      <c r="Z232" s="52"/>
    </row>
    <row r="233" spans="1:26" ht="30">
      <c r="A233" s="30" t="s">
        <v>308</v>
      </c>
      <c r="B233" s="38" t="s">
        <v>340</v>
      </c>
      <c r="C233" s="51">
        <v>44019</v>
      </c>
      <c r="D233" s="30" t="s">
        <v>13</v>
      </c>
      <c r="E233" s="30" t="s">
        <v>1157</v>
      </c>
      <c r="F233" s="43" t="s">
        <v>1158</v>
      </c>
      <c r="G233" s="38" t="s">
        <v>10</v>
      </c>
      <c r="H233" s="52"/>
      <c r="I233" s="52"/>
      <c r="J233" s="52"/>
      <c r="K233" s="52"/>
      <c r="L233" s="52"/>
      <c r="M233" s="52"/>
      <c r="N233" s="52"/>
      <c r="O233" s="52"/>
      <c r="P233" s="52"/>
      <c r="Q233" s="52"/>
      <c r="R233" s="52"/>
      <c r="S233" s="52"/>
      <c r="T233" s="52"/>
      <c r="U233" s="52"/>
      <c r="V233" s="52"/>
      <c r="W233" s="52"/>
      <c r="X233" s="52"/>
      <c r="Y233" s="52"/>
      <c r="Z233" s="52"/>
    </row>
    <row r="234" spans="1:26" ht="60">
      <c r="A234" s="30" t="s">
        <v>308</v>
      </c>
      <c r="B234" s="38" t="s">
        <v>417</v>
      </c>
      <c r="C234" s="51">
        <v>44039</v>
      </c>
      <c r="D234" s="30" t="s">
        <v>13</v>
      </c>
      <c r="E234" s="30" t="s">
        <v>1159</v>
      </c>
      <c r="F234" s="43" t="s">
        <v>1160</v>
      </c>
      <c r="G234" s="38" t="s">
        <v>10</v>
      </c>
      <c r="H234" s="52"/>
      <c r="I234" s="52"/>
      <c r="J234" s="52"/>
      <c r="K234" s="52"/>
      <c r="L234" s="52"/>
      <c r="M234" s="52"/>
      <c r="N234" s="52"/>
      <c r="O234" s="52"/>
      <c r="P234" s="52"/>
      <c r="Q234" s="52"/>
      <c r="R234" s="52"/>
      <c r="S234" s="52"/>
      <c r="T234" s="52"/>
      <c r="U234" s="52"/>
      <c r="V234" s="52"/>
      <c r="W234" s="52"/>
      <c r="X234" s="52"/>
      <c r="Y234" s="52"/>
      <c r="Z234" s="52"/>
    </row>
    <row r="235" spans="1:26" ht="48" customHeight="1">
      <c r="A235" s="30" t="s">
        <v>308</v>
      </c>
      <c r="B235" s="38" t="s">
        <v>343</v>
      </c>
      <c r="C235" s="51">
        <v>43963</v>
      </c>
      <c r="D235" s="30" t="s">
        <v>13</v>
      </c>
      <c r="E235" s="30" t="s">
        <v>344</v>
      </c>
      <c r="F235" s="43" t="s">
        <v>345</v>
      </c>
      <c r="G235" s="38" t="s">
        <v>10</v>
      </c>
      <c r="H235" s="52"/>
      <c r="I235" s="52"/>
      <c r="J235" s="52"/>
      <c r="K235" s="52"/>
      <c r="L235" s="52"/>
      <c r="M235" s="52"/>
      <c r="N235" s="52"/>
      <c r="O235" s="52"/>
      <c r="P235" s="52"/>
      <c r="Q235" s="52"/>
      <c r="R235" s="52"/>
      <c r="S235" s="52"/>
      <c r="T235" s="52"/>
      <c r="U235" s="52"/>
      <c r="V235" s="52"/>
      <c r="W235" s="52"/>
      <c r="X235" s="52"/>
      <c r="Y235" s="52"/>
      <c r="Z235" s="52"/>
    </row>
    <row r="236" spans="1:26" ht="33.75" customHeight="1">
      <c r="A236" s="30" t="s">
        <v>308</v>
      </c>
      <c r="B236" s="38" t="s">
        <v>346</v>
      </c>
      <c r="C236" s="51">
        <v>43909</v>
      </c>
      <c r="D236" s="30" t="s">
        <v>19</v>
      </c>
      <c r="E236" s="30" t="s">
        <v>347</v>
      </c>
      <c r="F236" s="42" t="str">
        <f>HYPERLINK("https://www.orlandosentinel.com/coronavirus/os-ne-health-coronavirus-seminole-brevard-evictions-suspended-20200318-mkygvhhmkbacxonpl3on7gakye-story.html","Seminole, Brevard, Osceola halt evictions during coronavirus outbreak")</f>
        <v>Seminole, Brevard, Osceola halt evictions during coronavirus outbreak</v>
      </c>
      <c r="G236" s="38" t="s">
        <v>10</v>
      </c>
      <c r="H236" s="52"/>
      <c r="I236" s="52"/>
      <c r="J236" s="52"/>
      <c r="K236" s="52"/>
      <c r="L236" s="52"/>
      <c r="M236" s="52"/>
      <c r="N236" s="52"/>
      <c r="O236" s="52"/>
      <c r="P236" s="52"/>
      <c r="Q236" s="52"/>
      <c r="R236" s="52"/>
      <c r="S236" s="52"/>
      <c r="T236" s="52"/>
      <c r="U236" s="52"/>
      <c r="V236" s="52"/>
      <c r="W236" s="52"/>
      <c r="X236" s="52"/>
      <c r="Y236" s="52"/>
      <c r="Z236" s="52"/>
    </row>
    <row r="237" spans="1:26" ht="34.5" customHeight="1">
      <c r="A237" s="30" t="s">
        <v>308</v>
      </c>
      <c r="B237" s="38" t="s">
        <v>18</v>
      </c>
      <c r="C237" s="51">
        <v>44041</v>
      </c>
      <c r="D237" s="30" t="s">
        <v>19</v>
      </c>
      <c r="E237" s="30" t="s">
        <v>1267</v>
      </c>
      <c r="F237" s="53" t="s">
        <v>1231</v>
      </c>
      <c r="G237" s="38" t="s">
        <v>10</v>
      </c>
      <c r="H237" s="52"/>
      <c r="I237" s="52"/>
      <c r="J237" s="52"/>
      <c r="K237" s="52"/>
      <c r="L237" s="52"/>
      <c r="M237" s="52"/>
      <c r="N237" s="52"/>
      <c r="O237" s="52"/>
      <c r="P237" s="52"/>
      <c r="Q237" s="52"/>
      <c r="R237" s="52"/>
      <c r="S237" s="52"/>
      <c r="T237" s="52"/>
      <c r="U237" s="52"/>
      <c r="V237" s="52"/>
      <c r="W237" s="52"/>
      <c r="X237" s="52"/>
      <c r="Y237" s="52"/>
      <c r="Z237" s="52"/>
    </row>
    <row r="238" spans="1:26" ht="45">
      <c r="A238" s="30" t="s">
        <v>308</v>
      </c>
      <c r="B238" s="38" t="s">
        <v>18</v>
      </c>
      <c r="C238" s="51">
        <v>43958</v>
      </c>
      <c r="D238" s="30" t="s">
        <v>13</v>
      </c>
      <c r="E238" s="30" t="s">
        <v>348</v>
      </c>
      <c r="F238" s="43" t="s">
        <v>349</v>
      </c>
      <c r="G238" s="38" t="s">
        <v>10</v>
      </c>
      <c r="H238" s="52"/>
      <c r="I238" s="52"/>
      <c r="J238" s="52"/>
      <c r="K238" s="52"/>
      <c r="L238" s="52"/>
      <c r="M238" s="52"/>
      <c r="N238" s="52"/>
      <c r="O238" s="52"/>
      <c r="P238" s="52"/>
      <c r="Q238" s="52"/>
      <c r="R238" s="52"/>
      <c r="S238" s="52"/>
      <c r="T238" s="52"/>
      <c r="U238" s="52"/>
      <c r="V238" s="52"/>
      <c r="W238" s="52"/>
      <c r="X238" s="52"/>
      <c r="Y238" s="52"/>
      <c r="Z238" s="52"/>
    </row>
    <row r="239" spans="1:26" ht="165">
      <c r="A239" s="30" t="s">
        <v>308</v>
      </c>
      <c r="B239" s="38" t="s">
        <v>18</v>
      </c>
      <c r="C239" s="51">
        <v>44007</v>
      </c>
      <c r="D239" s="30" t="s">
        <v>13</v>
      </c>
      <c r="E239" s="30" t="s">
        <v>1092</v>
      </c>
      <c r="F239" s="43" t="s">
        <v>1093</v>
      </c>
      <c r="G239" s="38" t="s">
        <v>10</v>
      </c>
      <c r="H239" s="52"/>
      <c r="I239" s="52"/>
      <c r="J239" s="52"/>
      <c r="K239" s="52"/>
      <c r="L239" s="52"/>
      <c r="M239" s="52"/>
      <c r="N239" s="52"/>
      <c r="O239" s="52"/>
      <c r="P239" s="52"/>
      <c r="Q239" s="52"/>
      <c r="R239" s="52"/>
      <c r="S239" s="52"/>
      <c r="T239" s="52"/>
      <c r="U239" s="52"/>
      <c r="V239" s="52"/>
      <c r="W239" s="52"/>
      <c r="X239" s="52"/>
      <c r="Y239" s="52"/>
      <c r="Z239" s="52"/>
    </row>
    <row r="240" spans="1:26" ht="90">
      <c r="A240" s="30" t="s">
        <v>350</v>
      </c>
      <c r="B240" s="38" t="s">
        <v>351</v>
      </c>
      <c r="C240" s="51">
        <v>43907</v>
      </c>
      <c r="D240" s="30" t="s">
        <v>19</v>
      </c>
      <c r="E240" s="30" t="s">
        <v>352</v>
      </c>
      <c r="F240" s="42" t="str">
        <f>HYPERLINK("https://www.atlantaga.gov/government/mayor-s-office/city-of-atlanta-covid-19-response","City of Atlanta Coronavirus Disease 2019 (COVID-19) Response")</f>
        <v>City of Atlanta Coronavirus Disease 2019 (COVID-19) Response</v>
      </c>
      <c r="G240" s="38" t="s">
        <v>10</v>
      </c>
      <c r="H240" s="52"/>
      <c r="I240" s="52"/>
      <c r="J240" s="52"/>
      <c r="K240" s="52"/>
      <c r="L240" s="52"/>
      <c r="M240" s="52"/>
      <c r="N240" s="52"/>
      <c r="O240" s="52"/>
      <c r="P240" s="52"/>
      <c r="Q240" s="52"/>
      <c r="R240" s="52"/>
      <c r="S240" s="52"/>
      <c r="T240" s="52"/>
      <c r="U240" s="52"/>
      <c r="V240" s="52"/>
      <c r="W240" s="52"/>
      <c r="X240" s="52"/>
      <c r="Y240" s="52"/>
      <c r="Z240" s="52"/>
    </row>
    <row r="241" spans="1:26" ht="45">
      <c r="A241" s="30" t="s">
        <v>350</v>
      </c>
      <c r="B241" s="38" t="s">
        <v>351</v>
      </c>
      <c r="C241" s="51">
        <v>43907</v>
      </c>
      <c r="D241" s="30" t="s">
        <v>40</v>
      </c>
      <c r="E241" s="30" t="s">
        <v>353</v>
      </c>
      <c r="F241" s="42" t="str">
        <f>HYPERLINK("https://www.atlantaga.gov/government/mayor-s-office/city-of-atlanta-covid-19-response","City of Atlanta Coronavirus Disease 2019 (COVID-19) Response")</f>
        <v>City of Atlanta Coronavirus Disease 2019 (COVID-19) Response</v>
      </c>
      <c r="G241" s="38" t="s">
        <v>10</v>
      </c>
      <c r="H241" s="52"/>
      <c r="I241" s="52"/>
      <c r="J241" s="52"/>
      <c r="K241" s="52"/>
      <c r="L241" s="52"/>
      <c r="M241" s="52"/>
      <c r="N241" s="52"/>
      <c r="O241" s="52"/>
      <c r="P241" s="52"/>
      <c r="Q241" s="52"/>
      <c r="R241" s="52"/>
      <c r="S241" s="52"/>
      <c r="T241" s="52"/>
      <c r="U241" s="52"/>
      <c r="V241" s="52"/>
      <c r="W241" s="52"/>
      <c r="X241" s="52"/>
      <c r="Y241" s="52"/>
      <c r="Z241" s="52"/>
    </row>
    <row r="242" spans="1:26" ht="30">
      <c r="A242" s="30" t="s">
        <v>350</v>
      </c>
      <c r="B242" s="38" t="s">
        <v>351</v>
      </c>
      <c r="C242" s="51">
        <v>43907</v>
      </c>
      <c r="D242" s="30" t="s">
        <v>49</v>
      </c>
      <c r="E242" s="30" t="s">
        <v>354</v>
      </c>
      <c r="F242" s="42" t="str">
        <f>HYPERLINK("https://www.atlantaga.gov/government/mayor-s-office/city-of-atlanta-covid-19-response","City of Atlanta Coronavirus Disease 2019 (COVID-19) Response")</f>
        <v>City of Atlanta Coronavirus Disease 2019 (COVID-19) Response</v>
      </c>
      <c r="G242" s="38" t="s">
        <v>10</v>
      </c>
      <c r="H242" s="52"/>
      <c r="I242" s="52"/>
      <c r="J242" s="52"/>
      <c r="K242" s="52"/>
      <c r="L242" s="52"/>
      <c r="M242" s="52"/>
      <c r="N242" s="52"/>
      <c r="O242" s="52"/>
      <c r="P242" s="52"/>
      <c r="Q242" s="52"/>
      <c r="R242" s="52"/>
      <c r="S242" s="52"/>
      <c r="T242" s="52"/>
      <c r="U242" s="52"/>
      <c r="V242" s="52"/>
      <c r="W242" s="52"/>
      <c r="X242" s="52"/>
      <c r="Y242" s="52"/>
      <c r="Z242" s="52"/>
    </row>
    <row r="243" spans="1:26" ht="60">
      <c r="A243" s="30" t="s">
        <v>350</v>
      </c>
      <c r="B243" s="38" t="s">
        <v>1301</v>
      </c>
      <c r="C243" s="51">
        <v>43891</v>
      </c>
      <c r="D243" s="30" t="s">
        <v>13</v>
      </c>
      <c r="E243" s="30" t="s">
        <v>1302</v>
      </c>
      <c r="F243" s="43" t="s">
        <v>1303</v>
      </c>
      <c r="G243" s="38" t="s">
        <v>10</v>
      </c>
      <c r="H243" s="52"/>
      <c r="I243" s="52"/>
      <c r="J243" s="52"/>
      <c r="K243" s="52"/>
      <c r="L243" s="52"/>
      <c r="M243" s="52"/>
      <c r="N243" s="52"/>
      <c r="O243" s="52"/>
      <c r="P243" s="52"/>
      <c r="Q243" s="52"/>
      <c r="R243" s="52"/>
      <c r="S243" s="52"/>
      <c r="T243" s="52"/>
      <c r="U243" s="52"/>
      <c r="V243" s="52"/>
      <c r="W243" s="52"/>
      <c r="X243" s="52"/>
      <c r="Y243" s="52"/>
      <c r="Z243" s="52"/>
    </row>
    <row r="244" spans="1:26" ht="30">
      <c r="A244" s="30" t="s">
        <v>350</v>
      </c>
      <c r="B244" s="38" t="s">
        <v>355</v>
      </c>
      <c r="C244" s="51">
        <v>43906</v>
      </c>
      <c r="D244" s="30" t="s">
        <v>19</v>
      </c>
      <c r="E244" s="30" t="s">
        <v>356</v>
      </c>
      <c r="F244" s="42" t="str">
        <f>HYPERLINK("https://www.ajc.com/news/local/efforts-pause-evictions-sow-confusion-among-renters-hit-pandemic/wOjW3bu27Rl49rH1tE29PL/","Efforts to pause evictions sow confusion in era of coronavirus")</f>
        <v>Efforts to pause evictions sow confusion in era of coronavirus</v>
      </c>
      <c r="G244" s="38" t="s">
        <v>10</v>
      </c>
      <c r="H244" s="52"/>
      <c r="I244" s="52"/>
      <c r="J244" s="52"/>
      <c r="K244" s="52"/>
      <c r="L244" s="52"/>
      <c r="M244" s="52"/>
      <c r="N244" s="52"/>
      <c r="O244" s="52"/>
      <c r="P244" s="52"/>
      <c r="Q244" s="52"/>
      <c r="R244" s="52"/>
      <c r="S244" s="52"/>
      <c r="T244" s="52"/>
      <c r="U244" s="52"/>
      <c r="V244" s="52"/>
      <c r="W244" s="52"/>
      <c r="X244" s="52"/>
      <c r="Y244" s="52"/>
      <c r="Z244" s="52"/>
    </row>
    <row r="245" spans="1:26" ht="30">
      <c r="A245" s="30" t="s">
        <v>350</v>
      </c>
      <c r="B245" s="38" t="s">
        <v>357</v>
      </c>
      <c r="C245" s="51">
        <v>43906</v>
      </c>
      <c r="D245" s="30" t="s">
        <v>19</v>
      </c>
      <c r="E245" s="30" t="s">
        <v>358</v>
      </c>
      <c r="F245" s="42" t="str">
        <f>HYPERLINK("https://www.ajc.com/news/local/efforts-pause-evictions-sow-confusion-among-renters-hit-pandemic/wOjW3bu27Rl49rH1tE29PL/","Efforts to pause evictions sow confusion in era of coronavirus")</f>
        <v>Efforts to pause evictions sow confusion in era of coronavirus</v>
      </c>
      <c r="G245" s="38" t="s">
        <v>10</v>
      </c>
      <c r="H245" s="52"/>
      <c r="I245" s="52"/>
      <c r="J245" s="52"/>
      <c r="K245" s="52"/>
      <c r="L245" s="52"/>
      <c r="M245" s="52"/>
      <c r="N245" s="52"/>
      <c r="O245" s="52"/>
      <c r="P245" s="52"/>
      <c r="Q245" s="52"/>
      <c r="R245" s="52"/>
      <c r="S245" s="52"/>
      <c r="T245" s="52"/>
      <c r="U245" s="52"/>
      <c r="V245" s="52"/>
      <c r="W245" s="52"/>
      <c r="X245" s="52"/>
      <c r="Y245" s="52"/>
      <c r="Z245" s="52"/>
    </row>
    <row r="246" spans="1:26" ht="47.25">
      <c r="A246" s="30" t="s">
        <v>350</v>
      </c>
      <c r="B246" s="38" t="s">
        <v>18</v>
      </c>
      <c r="C246" s="51">
        <v>43904</v>
      </c>
      <c r="D246" s="30" t="s">
        <v>19</v>
      </c>
      <c r="E246" s="57" t="s">
        <v>362</v>
      </c>
      <c r="F246" s="42" t="str">
        <f>HYPERLINK("https://www.ajc.com/news/local/georgia-supreme-court-declares-statewide-judicial-emergency/U7tKA1jDzEuLh9ztEEgdeI/","Georgia’s chief justice declares ‘statewide judicial emergency’")</f>
        <v>Georgia’s chief justice declares ‘statewide judicial emergency’</v>
      </c>
      <c r="G246" s="38" t="s">
        <v>10</v>
      </c>
      <c r="H246" s="52"/>
      <c r="I246" s="52"/>
      <c r="J246" s="52"/>
      <c r="K246" s="52"/>
      <c r="L246" s="52"/>
      <c r="M246" s="52"/>
      <c r="N246" s="52"/>
      <c r="O246" s="52"/>
      <c r="P246" s="52"/>
      <c r="Q246" s="52"/>
      <c r="R246" s="52"/>
      <c r="S246" s="52"/>
      <c r="T246" s="52"/>
      <c r="U246" s="52"/>
      <c r="V246" s="52"/>
      <c r="W246" s="52"/>
      <c r="X246" s="52"/>
      <c r="Y246" s="52"/>
      <c r="Z246" s="52"/>
    </row>
    <row r="247" spans="1:26" ht="47.25">
      <c r="A247" s="30" t="s">
        <v>350</v>
      </c>
      <c r="B247" s="38" t="s">
        <v>18</v>
      </c>
      <c r="C247" s="51">
        <v>43921</v>
      </c>
      <c r="D247" s="30" t="s">
        <v>8</v>
      </c>
      <c r="E247" s="57" t="s">
        <v>363</v>
      </c>
      <c r="F247" s="42" t="str">
        <f>HYPERLINK("https://www.ajc.com/news/local/breaking-georgia-release-some-inmates-due-covid-fears/np6zhBrlP1oe2jOkUmWVoL/","Georgia to release some inmates due to COVID-19 fears")</f>
        <v>Georgia to release some inmates due to COVID-19 fears</v>
      </c>
      <c r="G247" s="38" t="s">
        <v>10</v>
      </c>
      <c r="H247" s="52"/>
      <c r="I247" s="52"/>
      <c r="J247" s="52"/>
      <c r="K247" s="52"/>
      <c r="L247" s="52"/>
      <c r="M247" s="52"/>
      <c r="N247" s="52"/>
      <c r="O247" s="52"/>
      <c r="P247" s="52"/>
      <c r="Q247" s="52"/>
      <c r="R247" s="52"/>
      <c r="S247" s="52"/>
      <c r="T247" s="52"/>
      <c r="U247" s="52"/>
      <c r="V247" s="52"/>
      <c r="W247" s="52"/>
      <c r="X247" s="52"/>
      <c r="Y247" s="52"/>
      <c r="Z247" s="52"/>
    </row>
    <row r="248" spans="1:26" ht="30">
      <c r="A248" s="30" t="s">
        <v>350</v>
      </c>
      <c r="B248" s="38" t="s">
        <v>18</v>
      </c>
      <c r="C248" s="51">
        <v>43907</v>
      </c>
      <c r="D248" s="30" t="s">
        <v>359</v>
      </c>
      <c r="E248" s="30" t="s">
        <v>360</v>
      </c>
      <c r="F248" s="42" t="s">
        <v>361</v>
      </c>
      <c r="G248" s="38" t="s">
        <v>10</v>
      </c>
      <c r="H248" s="52"/>
      <c r="I248" s="52"/>
      <c r="J248" s="52"/>
      <c r="K248" s="52"/>
      <c r="L248" s="52"/>
      <c r="M248" s="52"/>
      <c r="N248" s="52"/>
      <c r="O248" s="52"/>
      <c r="P248" s="52"/>
      <c r="Q248" s="52"/>
      <c r="R248" s="52"/>
      <c r="S248" s="52"/>
      <c r="T248" s="52"/>
      <c r="U248" s="52"/>
      <c r="V248" s="52"/>
      <c r="W248" s="52"/>
      <c r="X248" s="52"/>
      <c r="Y248" s="52"/>
      <c r="Z248" s="52"/>
    </row>
    <row r="249" spans="1:26" ht="45">
      <c r="A249" s="30" t="s">
        <v>364</v>
      </c>
      <c r="B249" s="38" t="s">
        <v>365</v>
      </c>
      <c r="C249" s="51">
        <v>43938</v>
      </c>
      <c r="D249" s="30" t="s">
        <v>40</v>
      </c>
      <c r="E249" s="30" t="s">
        <v>366</v>
      </c>
      <c r="F249" s="42" t="s">
        <v>367</v>
      </c>
      <c r="G249" s="38" t="s">
        <v>17</v>
      </c>
      <c r="H249" s="52"/>
      <c r="I249" s="52"/>
      <c r="J249" s="52"/>
      <c r="K249" s="52"/>
      <c r="L249" s="52"/>
      <c r="M249" s="52"/>
      <c r="N249" s="52"/>
      <c r="O249" s="52"/>
      <c r="P249" s="52"/>
      <c r="Q249" s="52"/>
      <c r="R249" s="52"/>
      <c r="S249" s="52"/>
      <c r="T249" s="52"/>
      <c r="U249" s="52"/>
      <c r="V249" s="52"/>
      <c r="W249" s="52"/>
      <c r="X249" s="52"/>
      <c r="Y249" s="52"/>
      <c r="Z249" s="52"/>
    </row>
    <row r="250" spans="1:26" ht="45">
      <c r="A250" s="30" t="s">
        <v>368</v>
      </c>
      <c r="B250" s="38" t="s">
        <v>1161</v>
      </c>
      <c r="C250" s="51">
        <v>44036</v>
      </c>
      <c r="D250" s="30" t="s">
        <v>13</v>
      </c>
      <c r="E250" s="30" t="s">
        <v>1162</v>
      </c>
      <c r="F250" s="43" t="s">
        <v>1163</v>
      </c>
      <c r="G250" s="38" t="s">
        <v>10</v>
      </c>
      <c r="H250" s="52"/>
      <c r="I250" s="52"/>
      <c r="J250" s="52"/>
      <c r="K250" s="52"/>
      <c r="L250" s="52"/>
      <c r="M250" s="52"/>
      <c r="N250" s="52"/>
      <c r="O250" s="52"/>
      <c r="P250" s="52"/>
      <c r="Q250" s="52"/>
      <c r="R250" s="52"/>
      <c r="S250" s="52"/>
      <c r="T250" s="52"/>
      <c r="U250" s="52"/>
      <c r="V250" s="52"/>
      <c r="W250" s="52"/>
      <c r="X250" s="52"/>
      <c r="Y250" s="52"/>
      <c r="Z250" s="52"/>
    </row>
    <row r="251" spans="1:26" ht="60">
      <c r="A251" s="30" t="s">
        <v>368</v>
      </c>
      <c r="B251" s="38" t="s">
        <v>369</v>
      </c>
      <c r="C251" s="51">
        <v>43936</v>
      </c>
      <c r="D251" s="30" t="s">
        <v>13</v>
      </c>
      <c r="E251" s="30" t="s">
        <v>370</v>
      </c>
      <c r="F251" s="42" t="str">
        <f>HYPERLINK("https://tinyurl.com/y7zvvsrf","Hawaii Community Lending Partners to Market Emergency Loans Backed by Security Deposits in Oahu")</f>
        <v>Hawaii Community Lending Partners to Market Emergency Loans Backed by Security Deposits in Oahu</v>
      </c>
      <c r="G251" s="38" t="s">
        <v>10</v>
      </c>
      <c r="H251" s="52"/>
      <c r="I251" s="52"/>
      <c r="J251" s="52"/>
      <c r="K251" s="52"/>
      <c r="L251" s="52"/>
      <c r="M251" s="52"/>
      <c r="N251" s="52"/>
      <c r="O251" s="52"/>
      <c r="P251" s="52"/>
      <c r="Q251" s="52"/>
      <c r="R251" s="52"/>
      <c r="S251" s="52"/>
      <c r="T251" s="52"/>
      <c r="U251" s="52"/>
      <c r="V251" s="52"/>
      <c r="W251" s="52"/>
      <c r="X251" s="52"/>
      <c r="Y251" s="52"/>
      <c r="Z251" s="52"/>
    </row>
    <row r="252" spans="1:26" ht="75">
      <c r="A252" s="30" t="s">
        <v>368</v>
      </c>
      <c r="B252" s="38" t="s">
        <v>369</v>
      </c>
      <c r="C252" s="51">
        <v>43969</v>
      </c>
      <c r="D252" s="30" t="s">
        <v>13</v>
      </c>
      <c r="E252" s="30" t="s">
        <v>371</v>
      </c>
      <c r="F252" s="43" t="s">
        <v>372</v>
      </c>
      <c r="G252" s="38" t="s">
        <v>10</v>
      </c>
      <c r="H252" s="52"/>
      <c r="I252" s="52"/>
      <c r="J252" s="52"/>
      <c r="K252" s="52"/>
      <c r="L252" s="52"/>
      <c r="M252" s="52"/>
      <c r="N252" s="52"/>
      <c r="O252" s="52"/>
      <c r="P252" s="52"/>
      <c r="Q252" s="52"/>
      <c r="R252" s="52"/>
      <c r="S252" s="52"/>
      <c r="T252" s="52"/>
      <c r="U252" s="52"/>
      <c r="V252" s="52"/>
      <c r="W252" s="52"/>
      <c r="X252" s="52"/>
      <c r="Y252" s="52"/>
      <c r="Z252" s="52"/>
    </row>
    <row r="253" spans="1:26" ht="30">
      <c r="A253" s="30" t="s">
        <v>368</v>
      </c>
      <c r="B253" s="38" t="s">
        <v>18</v>
      </c>
      <c r="C253" s="51">
        <v>44057</v>
      </c>
      <c r="D253" s="30" t="s">
        <v>247</v>
      </c>
      <c r="E253" s="30" t="s">
        <v>1275</v>
      </c>
      <c r="F253" s="43" t="s">
        <v>1274</v>
      </c>
      <c r="G253" s="38" t="s">
        <v>10</v>
      </c>
      <c r="H253" s="52"/>
      <c r="I253" s="52"/>
      <c r="J253" s="52"/>
      <c r="K253" s="52"/>
      <c r="L253" s="52"/>
      <c r="M253" s="52"/>
      <c r="N253" s="52"/>
      <c r="O253" s="52"/>
      <c r="P253" s="52"/>
      <c r="Q253" s="52"/>
      <c r="R253" s="52"/>
      <c r="S253" s="52"/>
      <c r="T253" s="52"/>
      <c r="U253" s="52"/>
      <c r="V253" s="52"/>
      <c r="W253" s="52"/>
      <c r="X253" s="52"/>
      <c r="Y253" s="52"/>
      <c r="Z253" s="52"/>
    </row>
    <row r="254" spans="1:26">
      <c r="A254" s="30" t="s">
        <v>368</v>
      </c>
      <c r="B254" s="38" t="s">
        <v>18</v>
      </c>
      <c r="C254" s="51">
        <v>43907</v>
      </c>
      <c r="D254" s="30" t="s">
        <v>19</v>
      </c>
      <c r="E254" s="30" t="s">
        <v>1073</v>
      </c>
      <c r="F254" s="42" t="str">
        <f>HYPERLINK("https://www.courts.state.hi.us/wp-content/uploads/2020/03/031619_scmf-20-152_In_Re_COVID-19.pdf","Evictions on hold until April 30th. ")</f>
        <v xml:space="preserve">Evictions on hold until April 30th. </v>
      </c>
      <c r="G254" s="38" t="s">
        <v>10</v>
      </c>
      <c r="H254" s="52"/>
      <c r="I254" s="52"/>
      <c r="J254" s="52"/>
      <c r="K254" s="52"/>
      <c r="L254" s="52"/>
      <c r="M254" s="52"/>
      <c r="N254" s="52"/>
      <c r="O254" s="52"/>
      <c r="P254" s="52"/>
      <c r="Q254" s="52"/>
      <c r="R254" s="52"/>
      <c r="S254" s="52"/>
      <c r="T254" s="52"/>
      <c r="U254" s="52"/>
      <c r="V254" s="52"/>
      <c r="W254" s="52"/>
      <c r="X254" s="52"/>
      <c r="Y254" s="52"/>
      <c r="Z254" s="52"/>
    </row>
    <row r="255" spans="1:26" ht="45">
      <c r="A255" s="30" t="s">
        <v>368</v>
      </c>
      <c r="B255" s="38" t="s">
        <v>18</v>
      </c>
      <c r="C255" s="51">
        <v>43947</v>
      </c>
      <c r="D255" s="30" t="s">
        <v>13</v>
      </c>
      <c r="E255" s="30" t="s">
        <v>373</v>
      </c>
      <c r="F255" s="43" t="s">
        <v>374</v>
      </c>
      <c r="G255" s="38" t="s">
        <v>10</v>
      </c>
      <c r="H255" s="52"/>
      <c r="I255" s="52"/>
      <c r="J255" s="52"/>
      <c r="K255" s="52"/>
      <c r="L255" s="52"/>
      <c r="M255" s="52"/>
      <c r="N255" s="52"/>
      <c r="O255" s="52"/>
      <c r="P255" s="52"/>
      <c r="Q255" s="52"/>
      <c r="R255" s="52"/>
      <c r="S255" s="52"/>
      <c r="T255" s="52"/>
      <c r="U255" s="52"/>
      <c r="V255" s="52"/>
      <c r="W255" s="52"/>
      <c r="X255" s="52"/>
      <c r="Y255" s="52"/>
      <c r="Z255" s="52"/>
    </row>
    <row r="256" spans="1:26" ht="48" customHeight="1">
      <c r="A256" s="30" t="s">
        <v>368</v>
      </c>
      <c r="B256" s="38" t="s">
        <v>18</v>
      </c>
      <c r="C256" s="51">
        <v>44003</v>
      </c>
      <c r="D256" s="30" t="s">
        <v>13</v>
      </c>
      <c r="E256" s="30" t="s">
        <v>1074</v>
      </c>
      <c r="F256" s="43" t="s">
        <v>1075</v>
      </c>
      <c r="G256" s="38" t="s">
        <v>10</v>
      </c>
      <c r="H256" s="52"/>
      <c r="I256" s="52"/>
      <c r="J256" s="52"/>
      <c r="K256" s="52"/>
      <c r="L256" s="52"/>
      <c r="M256" s="52"/>
      <c r="N256" s="52"/>
      <c r="O256" s="52"/>
      <c r="P256" s="52"/>
      <c r="Q256" s="52"/>
      <c r="R256" s="52"/>
      <c r="S256" s="52"/>
      <c r="T256" s="52"/>
      <c r="U256" s="52"/>
      <c r="V256" s="52"/>
      <c r="W256" s="52"/>
      <c r="X256" s="52"/>
      <c r="Y256" s="52"/>
      <c r="Z256" s="52"/>
    </row>
    <row r="257" spans="1:26" ht="50.1" customHeight="1">
      <c r="A257" s="30" t="s">
        <v>368</v>
      </c>
      <c r="B257" s="38" t="s">
        <v>18</v>
      </c>
      <c r="C257" s="51">
        <v>44071</v>
      </c>
      <c r="D257" s="30" t="s">
        <v>13</v>
      </c>
      <c r="E257" s="30" t="s">
        <v>1337</v>
      </c>
      <c r="F257" s="43" t="s">
        <v>1273</v>
      </c>
      <c r="G257" s="38" t="s">
        <v>10</v>
      </c>
      <c r="H257" s="52"/>
      <c r="I257" s="52"/>
      <c r="J257" s="52"/>
      <c r="K257" s="52"/>
      <c r="L257" s="52"/>
      <c r="M257" s="52"/>
      <c r="N257" s="52"/>
      <c r="O257" s="52"/>
      <c r="P257" s="52"/>
      <c r="Q257" s="52"/>
      <c r="R257" s="52"/>
      <c r="S257" s="52"/>
      <c r="T257" s="52"/>
      <c r="U257" s="52"/>
      <c r="V257" s="52"/>
      <c r="W257" s="52"/>
      <c r="X257" s="52"/>
      <c r="Y257" s="52"/>
      <c r="Z257" s="52"/>
    </row>
    <row r="258" spans="1:26" ht="30">
      <c r="A258" s="30" t="s">
        <v>368</v>
      </c>
      <c r="B258" s="38" t="s">
        <v>18</v>
      </c>
      <c r="C258" s="51">
        <v>43923</v>
      </c>
      <c r="D258" s="30" t="s">
        <v>8</v>
      </c>
      <c r="E258" s="30" t="s">
        <v>375</v>
      </c>
      <c r="F258" s="42" t="str">
        <f>HYPERLINK("https://www.civilbeat.org/2020/04/special-master-appointed-to-decide-on-covid-19-jail-releases/","Special Master Appointed To Recommend On COVID-19 Jail Releases")</f>
        <v>Special Master Appointed To Recommend On COVID-19 Jail Releases</v>
      </c>
      <c r="G258" s="38" t="s">
        <v>10</v>
      </c>
      <c r="H258" s="52"/>
      <c r="I258" s="52"/>
      <c r="J258" s="52"/>
      <c r="K258" s="52"/>
      <c r="L258" s="52"/>
      <c r="M258" s="52"/>
      <c r="N258" s="52"/>
      <c r="O258" s="52"/>
      <c r="P258" s="52"/>
      <c r="Q258" s="52"/>
      <c r="R258" s="52"/>
      <c r="S258" s="52"/>
      <c r="T258" s="52"/>
      <c r="U258" s="52"/>
      <c r="V258" s="52"/>
      <c r="W258" s="52"/>
      <c r="X258" s="52"/>
      <c r="Y258" s="52"/>
      <c r="Z258" s="52"/>
    </row>
    <row r="259" spans="1:26" ht="30">
      <c r="A259" s="30" t="s">
        <v>376</v>
      </c>
      <c r="B259" s="38" t="s">
        <v>377</v>
      </c>
      <c r="C259" s="51">
        <v>43907</v>
      </c>
      <c r="D259" s="30" t="s">
        <v>19</v>
      </c>
      <c r="E259" s="30" t="s">
        <v>378</v>
      </c>
      <c r="F259" s="42" t="str">
        <f>HYPERLINK("https://www.idahopress.com/news/local/ada-county-commissioners-unable-to-enact-moratorium-on-evictions/article_8c3f6eed-d410-5cc3-b1bf-1a309f6822ec.html","Ada County Commissioners unable to enact moratorium on evictions")</f>
        <v>Ada County Commissioners unable to enact moratorium on evictions</v>
      </c>
      <c r="G259" s="38" t="s">
        <v>10</v>
      </c>
      <c r="H259" s="52"/>
      <c r="I259" s="52"/>
      <c r="J259" s="52"/>
      <c r="K259" s="52"/>
      <c r="L259" s="52"/>
      <c r="M259" s="52"/>
      <c r="N259" s="52"/>
      <c r="O259" s="52"/>
      <c r="P259" s="52"/>
      <c r="Q259" s="52"/>
      <c r="R259" s="52"/>
      <c r="S259" s="52"/>
      <c r="T259" s="52"/>
      <c r="U259" s="52"/>
      <c r="V259" s="52"/>
      <c r="W259" s="52"/>
      <c r="X259" s="52"/>
      <c r="Y259" s="52"/>
      <c r="Z259" s="52"/>
    </row>
    <row r="260" spans="1:26" ht="45">
      <c r="A260" s="30" t="s">
        <v>376</v>
      </c>
      <c r="B260" s="38" t="s">
        <v>18</v>
      </c>
      <c r="C260" s="51">
        <v>43917</v>
      </c>
      <c r="D260" s="30" t="s">
        <v>13</v>
      </c>
      <c r="E260" s="30" t="s">
        <v>379</v>
      </c>
      <c r="F260" s="43" t="s">
        <v>380</v>
      </c>
      <c r="G260" s="38" t="s">
        <v>10</v>
      </c>
      <c r="H260" s="52"/>
      <c r="I260" s="52"/>
      <c r="J260" s="52"/>
      <c r="K260" s="52"/>
      <c r="L260" s="52"/>
      <c r="M260" s="52"/>
      <c r="N260" s="52"/>
      <c r="O260" s="52"/>
      <c r="P260" s="52"/>
      <c r="Q260" s="52"/>
      <c r="R260" s="52"/>
      <c r="S260" s="52"/>
      <c r="T260" s="52"/>
      <c r="U260" s="52"/>
      <c r="V260" s="52"/>
      <c r="W260" s="52"/>
      <c r="X260" s="52"/>
      <c r="Y260" s="52"/>
      <c r="Z260" s="52"/>
    </row>
    <row r="261" spans="1:26" ht="75.75" customHeight="1">
      <c r="A261" s="30" t="s">
        <v>381</v>
      </c>
      <c r="B261" s="38" t="s">
        <v>382</v>
      </c>
      <c r="C261" s="51">
        <v>43917</v>
      </c>
      <c r="D261" s="30" t="s">
        <v>40</v>
      </c>
      <c r="E261" s="30" t="s">
        <v>383</v>
      </c>
      <c r="F261" s="42" t="str">
        <f>HYPERLINK("https://www.chicago.gov/city/en/sites/covid-19/home.html","City of Chicago Coronavirus Response Center")</f>
        <v>City of Chicago Coronavirus Response Center</v>
      </c>
      <c r="G261" s="38" t="s">
        <v>10</v>
      </c>
      <c r="H261" s="52"/>
      <c r="I261" s="52"/>
      <c r="J261" s="52"/>
      <c r="K261" s="52"/>
      <c r="L261" s="52"/>
      <c r="M261" s="52"/>
      <c r="N261" s="52"/>
      <c r="O261" s="52"/>
      <c r="P261" s="52"/>
      <c r="Q261" s="52"/>
      <c r="R261" s="52"/>
      <c r="S261" s="52"/>
      <c r="T261" s="52"/>
      <c r="U261" s="52"/>
      <c r="V261" s="52"/>
      <c r="W261" s="52"/>
      <c r="X261" s="52"/>
      <c r="Y261" s="52"/>
      <c r="Z261" s="52"/>
    </row>
    <row r="262" spans="1:26" ht="75">
      <c r="A262" s="30" t="s">
        <v>381</v>
      </c>
      <c r="B262" s="38" t="s">
        <v>382</v>
      </c>
      <c r="C262" s="51">
        <v>43992</v>
      </c>
      <c r="D262" s="30" t="s">
        <v>40</v>
      </c>
      <c r="E262" s="30" t="s">
        <v>974</v>
      </c>
      <c r="F262" s="42" t="s">
        <v>975</v>
      </c>
      <c r="G262" s="38"/>
      <c r="H262" s="52"/>
      <c r="I262" s="52"/>
      <c r="J262" s="52"/>
      <c r="K262" s="52"/>
      <c r="L262" s="52"/>
      <c r="M262" s="52"/>
      <c r="N262" s="52"/>
      <c r="O262" s="52"/>
      <c r="P262" s="52"/>
      <c r="Q262" s="52"/>
      <c r="R262" s="52"/>
      <c r="S262" s="52"/>
      <c r="T262" s="52"/>
      <c r="U262" s="52"/>
      <c r="V262" s="52"/>
      <c r="W262" s="52"/>
      <c r="X262" s="52"/>
      <c r="Y262" s="52"/>
      <c r="Z262" s="52"/>
    </row>
    <row r="263" spans="1:26" ht="45.75" customHeight="1">
      <c r="A263" s="30" t="s">
        <v>381</v>
      </c>
      <c r="B263" s="38" t="s">
        <v>382</v>
      </c>
      <c r="C263" s="51">
        <v>43923</v>
      </c>
      <c r="D263" s="30" t="s">
        <v>13</v>
      </c>
      <c r="E263" s="30" t="s">
        <v>384</v>
      </c>
      <c r="F263" s="42" t="str">
        <f>HYPERLINK("https://therealdeal.com/chicago/2020/04/02/cha-defers-rent-through-april-lightfoot-wants-landlords-to-do-the-same/","CHA defers rent through April, Lightfoot wants landlords to do the same")</f>
        <v>CHA defers rent through April, Lightfoot wants landlords to do the same</v>
      </c>
      <c r="G263" s="38" t="s">
        <v>10</v>
      </c>
      <c r="H263" s="52"/>
      <c r="I263" s="52"/>
      <c r="J263" s="52"/>
      <c r="K263" s="52"/>
      <c r="L263" s="52"/>
      <c r="M263" s="52"/>
      <c r="N263" s="52"/>
      <c r="O263" s="52"/>
      <c r="P263" s="52"/>
      <c r="Q263" s="52"/>
      <c r="R263" s="52"/>
      <c r="S263" s="52"/>
      <c r="T263" s="52"/>
      <c r="U263" s="52"/>
      <c r="V263" s="52"/>
      <c r="W263" s="52"/>
      <c r="X263" s="52"/>
      <c r="Y263" s="52"/>
      <c r="Z263" s="52"/>
    </row>
    <row r="264" spans="1:26" ht="77.25" customHeight="1">
      <c r="A264" s="30" t="s">
        <v>381</v>
      </c>
      <c r="B264" s="38" t="s">
        <v>382</v>
      </c>
      <c r="C264" s="51">
        <v>43917</v>
      </c>
      <c r="D264" s="30" t="s">
        <v>13</v>
      </c>
      <c r="E264" s="30" t="s">
        <v>385</v>
      </c>
      <c r="F264" s="42" t="str">
        <f>HYPERLINK("https://www.chicago.gov/city/en/depts/mayor/press_room/press_releases/2020/march/HousingAssistanceProgram.html","Mayor Lightfoot, The Department of Housing and Family Independence Initiative (FII) Launch Covid-19 Housing Assistance Grant Program")</f>
        <v>Mayor Lightfoot, The Department of Housing and Family Independence Initiative (FII) Launch Covid-19 Housing Assistance Grant Program</v>
      </c>
      <c r="G264" s="38" t="s">
        <v>10</v>
      </c>
      <c r="H264" s="52"/>
      <c r="I264" s="52"/>
      <c r="J264" s="52"/>
      <c r="K264" s="52"/>
      <c r="L264" s="52"/>
      <c r="M264" s="52"/>
      <c r="N264" s="52"/>
      <c r="O264" s="52"/>
      <c r="P264" s="52"/>
      <c r="Q264" s="52"/>
      <c r="R264" s="52"/>
      <c r="S264" s="52"/>
      <c r="T264" s="52"/>
      <c r="U264" s="52"/>
      <c r="V264" s="52"/>
      <c r="W264" s="52"/>
      <c r="X264" s="52"/>
      <c r="Y264" s="52"/>
      <c r="Z264" s="52"/>
    </row>
    <row r="265" spans="1:26" ht="30">
      <c r="A265" s="30" t="s">
        <v>381</v>
      </c>
      <c r="B265" s="38" t="s">
        <v>386</v>
      </c>
      <c r="C265" s="51">
        <v>43911</v>
      </c>
      <c r="D265" s="30" t="s">
        <v>19</v>
      </c>
      <c r="E265" s="30" t="s">
        <v>387</v>
      </c>
      <c r="F265" s="42" t="str">
        <f>HYPERLINK("http://www.cookcountycourt.org/home/informationregardingcoronavirus.aspx","Chief Judge Evans postpones most cases for 30 days due to coronavirus")</f>
        <v>Chief Judge Evans postpones most cases for 30 days due to coronavirus</v>
      </c>
      <c r="G265" s="38" t="s">
        <v>10</v>
      </c>
      <c r="H265" s="52"/>
      <c r="I265" s="52"/>
      <c r="J265" s="52"/>
      <c r="K265" s="52"/>
      <c r="L265" s="52"/>
      <c r="M265" s="52"/>
      <c r="N265" s="52"/>
      <c r="O265" s="52"/>
      <c r="P265" s="52"/>
      <c r="Q265" s="52"/>
      <c r="R265" s="52"/>
      <c r="S265" s="52"/>
      <c r="T265" s="52"/>
      <c r="U265" s="52"/>
      <c r="V265" s="52"/>
      <c r="W265" s="52"/>
      <c r="X265" s="52"/>
      <c r="Y265" s="52"/>
      <c r="Z265" s="52"/>
    </row>
    <row r="266" spans="1:26" ht="60">
      <c r="A266" s="30" t="s">
        <v>381</v>
      </c>
      <c r="B266" s="38" t="s">
        <v>386</v>
      </c>
      <c r="C266" s="51">
        <v>44021</v>
      </c>
      <c r="D266" s="30" t="s">
        <v>13</v>
      </c>
      <c r="E266" s="30" t="s">
        <v>1164</v>
      </c>
      <c r="F266" s="43" t="s">
        <v>1165</v>
      </c>
      <c r="G266" s="38" t="s">
        <v>10</v>
      </c>
      <c r="H266" s="52"/>
      <c r="I266" s="52"/>
      <c r="J266" s="52"/>
      <c r="K266" s="52"/>
      <c r="L266" s="52"/>
      <c r="M266" s="52"/>
      <c r="N266" s="52"/>
      <c r="O266" s="52"/>
      <c r="P266" s="52"/>
      <c r="Q266" s="52"/>
      <c r="R266" s="52"/>
      <c r="S266" s="52"/>
      <c r="T266" s="52"/>
      <c r="U266" s="52"/>
      <c r="V266" s="52"/>
      <c r="W266" s="52"/>
      <c r="X266" s="52"/>
      <c r="Y266" s="52"/>
      <c r="Z266" s="52"/>
    </row>
    <row r="267" spans="1:26" ht="75">
      <c r="A267" s="30" t="s">
        <v>381</v>
      </c>
      <c r="B267" s="38" t="s">
        <v>1304</v>
      </c>
      <c r="C267" s="51">
        <v>44083</v>
      </c>
      <c r="D267" s="30" t="s">
        <v>13</v>
      </c>
      <c r="E267" s="30" t="s">
        <v>1305</v>
      </c>
      <c r="F267" s="43" t="s">
        <v>1306</v>
      </c>
      <c r="G267" s="38" t="s">
        <v>10</v>
      </c>
      <c r="H267" s="52"/>
      <c r="I267" s="52"/>
      <c r="J267" s="52"/>
      <c r="K267" s="52"/>
      <c r="L267" s="52"/>
      <c r="M267" s="52"/>
      <c r="N267" s="52"/>
      <c r="O267" s="52"/>
      <c r="P267" s="52"/>
      <c r="Q267" s="52"/>
      <c r="R267" s="52"/>
      <c r="S267" s="52"/>
      <c r="T267" s="52"/>
      <c r="U267" s="52"/>
      <c r="V267" s="52"/>
      <c r="W267" s="52"/>
      <c r="X267" s="52"/>
      <c r="Y267" s="52"/>
      <c r="Z267" s="52"/>
    </row>
    <row r="268" spans="1:26" ht="75">
      <c r="A268" s="30" t="s">
        <v>381</v>
      </c>
      <c r="B268" s="38" t="s">
        <v>388</v>
      </c>
      <c r="C268" s="51">
        <v>43907</v>
      </c>
      <c r="D268" s="30" t="s">
        <v>19</v>
      </c>
      <c r="E268" s="30" t="s">
        <v>389</v>
      </c>
      <c r="F268" s="42" t="str">
        <f>HYPERLINK("https://patch.com/illinois/peoria/evictions-cease-peoria-due-coronavirus","Evictions To Cease In Peoria Due To Coronavirus")</f>
        <v>Evictions To Cease In Peoria Due To Coronavirus</v>
      </c>
      <c r="G268" s="38" t="s">
        <v>10</v>
      </c>
      <c r="H268" s="52"/>
      <c r="I268" s="52"/>
      <c r="J268" s="52"/>
      <c r="K268" s="52"/>
      <c r="L268" s="52"/>
      <c r="M268" s="52"/>
      <c r="N268" s="52"/>
      <c r="O268" s="52"/>
      <c r="P268" s="52"/>
      <c r="Q268" s="52"/>
      <c r="R268" s="52"/>
      <c r="S268" s="52"/>
      <c r="T268" s="52"/>
      <c r="U268" s="52"/>
      <c r="V268" s="52"/>
      <c r="W268" s="52"/>
      <c r="X268" s="52"/>
      <c r="Y268" s="52"/>
      <c r="Z268" s="52"/>
    </row>
    <row r="269" spans="1:26" ht="45">
      <c r="A269" s="30" t="s">
        <v>381</v>
      </c>
      <c r="B269" s="38" t="s">
        <v>1435</v>
      </c>
      <c r="C269" s="51">
        <v>44124</v>
      </c>
      <c r="D269" s="30" t="s">
        <v>13</v>
      </c>
      <c r="E269" s="30" t="s">
        <v>1436</v>
      </c>
      <c r="F269" s="43" t="s">
        <v>1437</v>
      </c>
      <c r="G269" s="38" t="s">
        <v>10</v>
      </c>
      <c r="H269" s="52"/>
      <c r="I269" s="52"/>
      <c r="J269" s="52"/>
      <c r="K269" s="52"/>
      <c r="L269" s="52"/>
      <c r="M269" s="52"/>
      <c r="N269" s="52"/>
      <c r="O269" s="52"/>
      <c r="P269" s="52"/>
      <c r="Q269" s="52"/>
      <c r="R269" s="52"/>
      <c r="S269" s="52"/>
      <c r="T269" s="52"/>
      <c r="U269" s="52"/>
      <c r="V269" s="52"/>
      <c r="W269" s="52"/>
      <c r="X269" s="52"/>
      <c r="Y269" s="52"/>
      <c r="Z269" s="52"/>
    </row>
    <row r="270" spans="1:26" ht="60">
      <c r="A270" s="30" t="s">
        <v>381</v>
      </c>
      <c r="B270" s="38" t="s">
        <v>18</v>
      </c>
      <c r="C270" s="51">
        <v>43910</v>
      </c>
      <c r="D270" s="30" t="s">
        <v>243</v>
      </c>
      <c r="E270" s="30" t="s">
        <v>390</v>
      </c>
      <c r="F270" s="42" t="str">
        <f>HYPERLINK("https://www2.illinois.gov/Pages/news-item.aspx?ReleaseID=21288","Illinois mandate deems construction essential and therefore allowed to continue.")</f>
        <v>Illinois mandate deems construction essential and therefore allowed to continue.</v>
      </c>
      <c r="G270" s="38" t="s">
        <v>10</v>
      </c>
      <c r="H270" s="52"/>
      <c r="I270" s="52"/>
      <c r="J270" s="52"/>
      <c r="K270" s="52"/>
      <c r="L270" s="52"/>
      <c r="M270" s="52"/>
      <c r="N270" s="52"/>
      <c r="O270" s="52"/>
      <c r="P270" s="52"/>
      <c r="Q270" s="52"/>
      <c r="R270" s="52"/>
      <c r="S270" s="52"/>
      <c r="T270" s="52"/>
      <c r="U270" s="52"/>
      <c r="V270" s="52"/>
      <c r="W270" s="52"/>
      <c r="X270" s="52"/>
      <c r="Y270" s="52"/>
      <c r="Z270" s="52"/>
    </row>
    <row r="271" spans="1:26" ht="60">
      <c r="A271" s="30" t="s">
        <v>381</v>
      </c>
      <c r="B271" s="38" t="s">
        <v>18</v>
      </c>
      <c r="C271" s="51">
        <v>44064</v>
      </c>
      <c r="D271" s="30" t="s">
        <v>19</v>
      </c>
      <c r="E271" s="30" t="s">
        <v>1254</v>
      </c>
      <c r="F271" s="43" t="str">
        <f>HYPERLINK("https://s3.amazonaws.com/fn-document-service/file-by-sha384/b79e2f291bbffc79c60c6bd8defdd540813a7ccafd65e5d39dcc26dbb8135c18449bf3797ad9d2d542260f652cbe128c","IL Executive Order 2020-52")</f>
        <v>IL Executive Order 2020-52</v>
      </c>
      <c r="G271" s="38" t="s">
        <v>10</v>
      </c>
      <c r="H271" s="52"/>
      <c r="I271" s="52"/>
      <c r="J271" s="52"/>
      <c r="K271" s="52"/>
      <c r="L271" s="52"/>
      <c r="M271" s="52"/>
      <c r="N271" s="52"/>
      <c r="O271" s="52"/>
      <c r="P271" s="52"/>
      <c r="Q271" s="52"/>
      <c r="R271" s="52"/>
      <c r="S271" s="52"/>
      <c r="T271" s="52"/>
      <c r="U271" s="52"/>
      <c r="V271" s="52"/>
      <c r="W271" s="52"/>
      <c r="X271" s="52"/>
      <c r="Y271" s="52"/>
      <c r="Z271" s="52"/>
    </row>
    <row r="272" spans="1:26" ht="135" customHeight="1">
      <c r="A272" s="30" t="s">
        <v>381</v>
      </c>
      <c r="B272" s="38" t="s">
        <v>18</v>
      </c>
      <c r="C272" s="51">
        <v>43916</v>
      </c>
      <c r="D272" s="30" t="s">
        <v>40</v>
      </c>
      <c r="E272" s="30" t="s">
        <v>391</v>
      </c>
      <c r="F272" s="42" t="str">
        <f>HYPERLINK("https://coronavirus.illinois.gov/s/resources-for-economic-assistance","State of Illinois Economic Relief- COVID Response ")</f>
        <v xml:space="preserve">State of Illinois Economic Relief- COVID Response </v>
      </c>
      <c r="G272" s="38" t="s">
        <v>10</v>
      </c>
      <c r="H272" s="52"/>
      <c r="I272" s="52"/>
      <c r="J272" s="52"/>
      <c r="K272" s="52"/>
      <c r="L272" s="52"/>
      <c r="M272" s="52"/>
      <c r="N272" s="52"/>
      <c r="O272" s="52"/>
      <c r="P272" s="52"/>
      <c r="Q272" s="52"/>
      <c r="R272" s="52"/>
      <c r="S272" s="52"/>
      <c r="T272" s="52"/>
      <c r="U272" s="52"/>
      <c r="V272" s="52"/>
      <c r="W272" s="52"/>
      <c r="X272" s="52"/>
      <c r="Y272" s="52"/>
      <c r="Z272" s="52"/>
    </row>
    <row r="273" spans="1:26" ht="120">
      <c r="A273" s="30" t="s">
        <v>381</v>
      </c>
      <c r="B273" s="38" t="s">
        <v>18</v>
      </c>
      <c r="C273" s="51">
        <v>43913</v>
      </c>
      <c r="D273" s="30" t="s">
        <v>49</v>
      </c>
      <c r="E273" s="30" t="s">
        <v>392</v>
      </c>
      <c r="F273" s="42" t="str">
        <f>HYPERLINK("https://mcusercontent.com/9d985a7e25453fbb60cd5f50b/files/e4613d98-3e36-4677-96a5-6cb4ff27a51a/COVID_19_Budget_Updates.pdf","IDHS Letter from Secretary Hou")</f>
        <v>IDHS Letter from Secretary Hou</v>
      </c>
      <c r="G273" s="38" t="s">
        <v>10</v>
      </c>
      <c r="H273" s="52"/>
      <c r="I273" s="52"/>
      <c r="J273" s="52"/>
      <c r="K273" s="52"/>
      <c r="L273" s="52"/>
      <c r="M273" s="52"/>
      <c r="N273" s="52"/>
      <c r="O273" s="52"/>
      <c r="P273" s="52"/>
      <c r="Q273" s="52"/>
      <c r="R273" s="52"/>
      <c r="S273" s="52"/>
      <c r="T273" s="52"/>
      <c r="U273" s="52"/>
      <c r="V273" s="52"/>
      <c r="W273" s="52"/>
      <c r="X273" s="52"/>
      <c r="Y273" s="52"/>
      <c r="Z273" s="52"/>
    </row>
    <row r="274" spans="1:26" ht="75">
      <c r="A274" s="30" t="s">
        <v>381</v>
      </c>
      <c r="B274" s="38" t="s">
        <v>18</v>
      </c>
      <c r="C274" s="51">
        <v>43977</v>
      </c>
      <c r="D274" s="30" t="s">
        <v>13</v>
      </c>
      <c r="E274" s="30" t="s">
        <v>393</v>
      </c>
      <c r="F274" s="43" t="s">
        <v>394</v>
      </c>
      <c r="G274" s="38" t="s">
        <v>10</v>
      </c>
      <c r="H274" s="52"/>
      <c r="I274" s="52"/>
      <c r="J274" s="52"/>
      <c r="K274" s="52"/>
      <c r="L274" s="52"/>
      <c r="M274" s="52"/>
      <c r="N274" s="52"/>
      <c r="O274" s="52"/>
      <c r="P274" s="52"/>
      <c r="Q274" s="52"/>
      <c r="R274" s="52"/>
      <c r="S274" s="52"/>
      <c r="T274" s="52"/>
      <c r="U274" s="52"/>
      <c r="V274" s="52"/>
      <c r="W274" s="52"/>
      <c r="X274" s="52"/>
      <c r="Y274" s="52"/>
      <c r="Z274" s="52"/>
    </row>
    <row r="275" spans="1:26" ht="30">
      <c r="A275" s="30" t="s">
        <v>381</v>
      </c>
      <c r="B275" s="38" t="s">
        <v>18</v>
      </c>
      <c r="C275" s="51">
        <v>43913</v>
      </c>
      <c r="D275" s="30" t="s">
        <v>8</v>
      </c>
      <c r="E275" s="30" t="s">
        <v>395</v>
      </c>
      <c r="F275" s="43" t="s">
        <v>396</v>
      </c>
      <c r="G275" s="38" t="s">
        <v>10</v>
      </c>
      <c r="H275" s="52"/>
      <c r="I275" s="52"/>
      <c r="J275" s="52"/>
      <c r="K275" s="52"/>
      <c r="L275" s="52"/>
      <c r="M275" s="52"/>
      <c r="N275" s="52"/>
      <c r="O275" s="52"/>
      <c r="P275" s="52"/>
      <c r="Q275" s="52"/>
      <c r="R275" s="52"/>
      <c r="S275" s="52"/>
      <c r="T275" s="52"/>
      <c r="U275" s="52"/>
      <c r="V275" s="52"/>
      <c r="W275" s="52"/>
      <c r="X275" s="52"/>
      <c r="Y275" s="52"/>
      <c r="Z275" s="52"/>
    </row>
    <row r="276" spans="1:26" ht="45" customHeight="1">
      <c r="A276" s="30" t="s">
        <v>381</v>
      </c>
      <c r="B276" s="38" t="s">
        <v>18</v>
      </c>
      <c r="C276" s="51">
        <v>43916</v>
      </c>
      <c r="D276" s="30" t="s">
        <v>8</v>
      </c>
      <c r="E276" s="30" t="s">
        <v>397</v>
      </c>
      <c r="F276" s="42" t="str">
        <f>HYPERLINK("https://www2.illinois.gov/idoc/facilities/Pages/Covid19Response.aspx","IDCO COVID Repsone and FAQs")</f>
        <v>IDCO COVID Repsone and FAQs</v>
      </c>
      <c r="G276" s="38" t="s">
        <v>10</v>
      </c>
      <c r="H276" s="52"/>
      <c r="I276" s="52"/>
      <c r="J276" s="52"/>
      <c r="K276" s="52"/>
      <c r="L276" s="52"/>
      <c r="M276" s="52"/>
      <c r="N276" s="52"/>
      <c r="O276" s="52"/>
      <c r="P276" s="52"/>
      <c r="Q276" s="52"/>
      <c r="R276" s="52"/>
      <c r="S276" s="52"/>
      <c r="T276" s="52"/>
      <c r="U276" s="52"/>
      <c r="V276" s="52"/>
      <c r="W276" s="52"/>
      <c r="X276" s="52"/>
      <c r="Y276" s="52"/>
      <c r="Z276" s="52"/>
    </row>
    <row r="277" spans="1:26" ht="121.5" customHeight="1">
      <c r="A277" s="30" t="s">
        <v>381</v>
      </c>
      <c r="B277" s="38" t="s">
        <v>18</v>
      </c>
      <c r="C277" s="51">
        <v>44001</v>
      </c>
      <c r="D277" s="30" t="s">
        <v>154</v>
      </c>
      <c r="E277" s="30" t="s">
        <v>1253</v>
      </c>
      <c r="F277" s="43" t="s">
        <v>1248</v>
      </c>
      <c r="G277" s="38" t="s">
        <v>10</v>
      </c>
      <c r="H277" s="52"/>
      <c r="I277" s="52"/>
      <c r="J277" s="52"/>
      <c r="K277" s="52"/>
      <c r="L277" s="52"/>
      <c r="M277" s="52"/>
      <c r="N277" s="52"/>
      <c r="O277" s="52"/>
      <c r="P277" s="52"/>
      <c r="Q277" s="52"/>
      <c r="R277" s="52"/>
      <c r="S277" s="52"/>
      <c r="T277" s="52"/>
      <c r="U277" s="52"/>
      <c r="V277" s="52"/>
      <c r="W277" s="52"/>
      <c r="X277" s="52"/>
      <c r="Y277" s="52"/>
      <c r="Z277" s="52"/>
    </row>
    <row r="278" spans="1:26" ht="107.25" customHeight="1">
      <c r="A278" s="30" t="s">
        <v>398</v>
      </c>
      <c r="B278" s="38" t="s">
        <v>399</v>
      </c>
      <c r="C278" s="51">
        <v>43949</v>
      </c>
      <c r="D278" s="30" t="s">
        <v>13</v>
      </c>
      <c r="E278" s="30" t="s">
        <v>400</v>
      </c>
      <c r="F278" s="43" t="s">
        <v>401</v>
      </c>
      <c r="G278" s="38" t="s">
        <v>10</v>
      </c>
      <c r="H278" s="52"/>
      <c r="I278" s="52"/>
      <c r="J278" s="52"/>
      <c r="K278" s="52"/>
      <c r="L278" s="52"/>
      <c r="M278" s="52"/>
      <c r="N278" s="52"/>
      <c r="O278" s="52"/>
      <c r="P278" s="52"/>
      <c r="Q278" s="52"/>
      <c r="R278" s="52"/>
      <c r="S278" s="52"/>
      <c r="T278" s="52"/>
      <c r="U278" s="52"/>
      <c r="V278" s="52"/>
      <c r="W278" s="52"/>
      <c r="X278" s="52"/>
      <c r="Y278" s="52"/>
      <c r="Z278" s="52"/>
    </row>
    <row r="279" spans="1:26" ht="60">
      <c r="A279" s="30" t="s">
        <v>398</v>
      </c>
      <c r="B279" s="38" t="s">
        <v>402</v>
      </c>
      <c r="C279" s="51">
        <v>43944</v>
      </c>
      <c r="D279" s="30" t="s">
        <v>13</v>
      </c>
      <c r="E279" s="30" t="s">
        <v>403</v>
      </c>
      <c r="F279" s="43" t="s">
        <v>404</v>
      </c>
      <c r="G279" s="38" t="s">
        <v>10</v>
      </c>
      <c r="H279" s="52"/>
      <c r="I279" s="52"/>
      <c r="J279" s="52"/>
      <c r="K279" s="52"/>
      <c r="L279" s="52"/>
      <c r="M279" s="52"/>
      <c r="N279" s="52"/>
      <c r="O279" s="52"/>
      <c r="P279" s="52"/>
      <c r="Q279" s="52"/>
      <c r="R279" s="52"/>
      <c r="S279" s="52"/>
      <c r="T279" s="52"/>
      <c r="U279" s="52"/>
      <c r="V279" s="52"/>
      <c r="W279" s="52"/>
      <c r="X279" s="52"/>
      <c r="Y279" s="52"/>
      <c r="Z279" s="52"/>
    </row>
    <row r="280" spans="1:26" ht="45">
      <c r="A280" s="30" t="s">
        <v>398</v>
      </c>
      <c r="B280" s="38" t="s">
        <v>766</v>
      </c>
      <c r="C280" s="51">
        <v>43983</v>
      </c>
      <c r="D280" s="30" t="s">
        <v>13</v>
      </c>
      <c r="E280" s="30" t="s">
        <v>986</v>
      </c>
      <c r="F280" s="43" t="s">
        <v>987</v>
      </c>
      <c r="G280" s="38" t="s">
        <v>10</v>
      </c>
      <c r="H280" s="52"/>
      <c r="I280" s="52"/>
      <c r="J280" s="52"/>
      <c r="K280" s="52"/>
      <c r="L280" s="52"/>
      <c r="M280" s="52"/>
      <c r="N280" s="52"/>
      <c r="O280" s="52"/>
      <c r="P280" s="52"/>
      <c r="Q280" s="52"/>
      <c r="R280" s="52"/>
      <c r="S280" s="52"/>
      <c r="T280" s="52"/>
      <c r="U280" s="52"/>
      <c r="V280" s="52"/>
      <c r="W280" s="52"/>
      <c r="X280" s="52"/>
      <c r="Y280" s="52"/>
      <c r="Z280" s="52"/>
    </row>
    <row r="281" spans="1:26" ht="30">
      <c r="A281" s="30" t="s">
        <v>398</v>
      </c>
      <c r="B281" s="38" t="s">
        <v>1037</v>
      </c>
      <c r="C281" s="51">
        <v>43990</v>
      </c>
      <c r="D281" s="30" t="s">
        <v>13</v>
      </c>
      <c r="E281" s="30" t="s">
        <v>1038</v>
      </c>
      <c r="F281" s="43" t="s">
        <v>1039</v>
      </c>
      <c r="G281" s="38" t="s">
        <v>10</v>
      </c>
      <c r="H281" s="52"/>
      <c r="I281" s="52"/>
      <c r="J281" s="52"/>
      <c r="K281" s="52"/>
      <c r="L281" s="52"/>
      <c r="M281" s="52"/>
      <c r="N281" s="52"/>
      <c r="O281" s="52"/>
      <c r="P281" s="52"/>
      <c r="Q281" s="52"/>
      <c r="R281" s="52"/>
      <c r="S281" s="52"/>
      <c r="T281" s="52"/>
      <c r="U281" s="52"/>
      <c r="V281" s="52"/>
      <c r="W281" s="52"/>
      <c r="X281" s="52"/>
      <c r="Y281" s="52"/>
      <c r="Z281" s="52"/>
    </row>
    <row r="282" spans="1:26" ht="47.25" customHeight="1">
      <c r="A282" s="30" t="s">
        <v>398</v>
      </c>
      <c r="B282" s="38" t="s">
        <v>1166</v>
      </c>
      <c r="C282" s="51">
        <v>44036</v>
      </c>
      <c r="D282" s="30" t="s">
        <v>13</v>
      </c>
      <c r="E282" s="30" t="s">
        <v>1167</v>
      </c>
      <c r="F282" s="43" t="s">
        <v>1154</v>
      </c>
      <c r="G282" s="38" t="s">
        <v>10</v>
      </c>
      <c r="H282" s="52"/>
      <c r="I282" s="52"/>
      <c r="J282" s="52"/>
      <c r="K282" s="52"/>
      <c r="L282" s="52"/>
      <c r="M282" s="52"/>
      <c r="N282" s="52"/>
      <c r="O282" s="52"/>
      <c r="P282" s="52"/>
      <c r="Q282" s="52"/>
      <c r="R282" s="52"/>
      <c r="S282" s="52"/>
      <c r="T282" s="52"/>
      <c r="U282" s="52"/>
      <c r="V282" s="52"/>
      <c r="W282" s="52"/>
      <c r="X282" s="52"/>
      <c r="Y282" s="52"/>
      <c r="Z282" s="52"/>
    </row>
    <row r="283" spans="1:26" ht="60">
      <c r="A283" s="30" t="s">
        <v>398</v>
      </c>
      <c r="B283" s="38" t="s">
        <v>18</v>
      </c>
      <c r="C283" s="51">
        <v>43896</v>
      </c>
      <c r="D283" s="30" t="s">
        <v>243</v>
      </c>
      <c r="E283" s="30" t="s">
        <v>405</v>
      </c>
      <c r="F283" s="42" t="str">
        <f>HYPERLINK("https://www.google.com/url?sa=t&amp;rct=j&amp;q=&amp;esrc=s&amp;source=web&amp;cd=1&amp;cad=rja&amp;uact=8&amp;ved=2ahUKEwj88-7ousLoAhXwmOAKHRazBswQFjAAegQIBBAB&amp;url=https%3A%2F%2Fwww.in.gov%2Fgov%2Ffiles%2FExecutive_Order_20-08_Stay_at_Home.pdf&amp;usg=AOvVaw3TuzCRPNGawok0imU4FK_V","Indiana governor issues Stay at Home order for entire state; allows for essential construction to continue")</f>
        <v>Indiana governor issues Stay at Home order for entire state; allows for essential construction to continue</v>
      </c>
      <c r="G283" s="38" t="s">
        <v>10</v>
      </c>
      <c r="H283" s="52"/>
      <c r="I283" s="52"/>
      <c r="J283" s="52"/>
      <c r="K283" s="52"/>
      <c r="L283" s="52"/>
      <c r="M283" s="52"/>
      <c r="N283" s="52"/>
      <c r="O283" s="52"/>
      <c r="P283" s="52"/>
      <c r="Q283" s="52"/>
      <c r="R283" s="52"/>
      <c r="S283" s="52"/>
      <c r="T283" s="52"/>
      <c r="U283" s="52"/>
      <c r="V283" s="52"/>
      <c r="W283" s="52"/>
      <c r="X283" s="52"/>
      <c r="Y283" s="52"/>
      <c r="Z283" s="52"/>
    </row>
    <row r="284" spans="1:26" ht="45">
      <c r="A284" s="30" t="s">
        <v>398</v>
      </c>
      <c r="B284" s="38" t="s">
        <v>18</v>
      </c>
      <c r="C284" s="51">
        <v>43911</v>
      </c>
      <c r="D284" s="30" t="s">
        <v>19</v>
      </c>
      <c r="E284" s="30" t="s">
        <v>406</v>
      </c>
      <c r="F284" s="42" t="str">
        <f>HYPERLINK("https://www.cincinnati.com/story/news/health/2020/03/19/indianapolis-coronavirus-updates-top-news-covid-19-indiana/5073723002/","Indiana coronavirus updates: State announces multiple new coronavirus policies")</f>
        <v>Indiana coronavirus updates: State announces multiple new coronavirus policies</v>
      </c>
      <c r="G284" s="38" t="s">
        <v>10</v>
      </c>
      <c r="H284" s="52"/>
      <c r="I284" s="52"/>
      <c r="J284" s="52"/>
      <c r="K284" s="52"/>
      <c r="L284" s="52"/>
      <c r="M284" s="52"/>
      <c r="N284" s="52"/>
      <c r="O284" s="52"/>
      <c r="P284" s="52"/>
      <c r="Q284" s="52"/>
      <c r="R284" s="52"/>
      <c r="S284" s="52"/>
      <c r="T284" s="52"/>
      <c r="U284" s="52"/>
      <c r="V284" s="52"/>
      <c r="W284" s="52"/>
      <c r="X284" s="52"/>
      <c r="Y284" s="52"/>
      <c r="Z284" s="52"/>
    </row>
    <row r="285" spans="1:26" ht="60">
      <c r="A285" s="30" t="s">
        <v>398</v>
      </c>
      <c r="B285" s="38" t="s">
        <v>18</v>
      </c>
      <c r="C285" s="51">
        <v>44007</v>
      </c>
      <c r="D285" s="30" t="s">
        <v>13</v>
      </c>
      <c r="E285" s="30" t="s">
        <v>1069</v>
      </c>
      <c r="F285" s="43" t="s">
        <v>1070</v>
      </c>
      <c r="G285" s="38" t="s">
        <v>10</v>
      </c>
      <c r="H285" s="52"/>
      <c r="I285" s="52"/>
      <c r="J285" s="52"/>
      <c r="K285" s="52"/>
      <c r="L285" s="52"/>
      <c r="M285" s="52"/>
      <c r="N285" s="52"/>
      <c r="O285" s="52"/>
      <c r="P285" s="52"/>
      <c r="Q285" s="52"/>
      <c r="R285" s="52"/>
      <c r="S285" s="52"/>
      <c r="T285" s="52"/>
      <c r="U285" s="52"/>
      <c r="V285" s="52"/>
      <c r="W285" s="52"/>
      <c r="X285" s="52"/>
      <c r="Y285" s="52"/>
      <c r="Z285" s="52"/>
    </row>
    <row r="286" spans="1:26" ht="60">
      <c r="A286" s="30" t="s">
        <v>398</v>
      </c>
      <c r="B286" s="38" t="s">
        <v>18</v>
      </c>
      <c r="C286" s="51">
        <v>44118</v>
      </c>
      <c r="D286" s="30" t="s">
        <v>13</v>
      </c>
      <c r="E286" s="30" t="s">
        <v>1438</v>
      </c>
      <c r="F286" s="43" t="s">
        <v>1439</v>
      </c>
      <c r="G286" s="38" t="s">
        <v>10</v>
      </c>
      <c r="H286" s="52"/>
      <c r="I286" s="52"/>
      <c r="J286" s="52"/>
      <c r="K286" s="52"/>
      <c r="L286" s="52"/>
      <c r="M286" s="52"/>
      <c r="N286" s="52"/>
      <c r="O286" s="52"/>
      <c r="P286" s="52"/>
      <c r="Q286" s="52"/>
      <c r="R286" s="52"/>
      <c r="S286" s="52"/>
      <c r="T286" s="52"/>
      <c r="U286" s="52"/>
      <c r="V286" s="52"/>
      <c r="W286" s="52"/>
      <c r="X286" s="52"/>
      <c r="Y286" s="52"/>
      <c r="Z286" s="52"/>
    </row>
    <row r="287" spans="1:26" ht="45">
      <c r="A287" s="30" t="s">
        <v>398</v>
      </c>
      <c r="B287" s="38" t="s">
        <v>18</v>
      </c>
      <c r="C287" s="51">
        <v>43924</v>
      </c>
      <c r="D287" s="30" t="s">
        <v>8</v>
      </c>
      <c r="E287" s="30" t="s">
        <v>407</v>
      </c>
      <c r="F287" s="43" t="s">
        <v>408</v>
      </c>
      <c r="G287" s="38" t="s">
        <v>10</v>
      </c>
      <c r="H287" s="52"/>
      <c r="I287" s="52"/>
      <c r="J287" s="52"/>
      <c r="K287" s="52"/>
      <c r="L287" s="52"/>
      <c r="M287" s="52"/>
      <c r="N287" s="52"/>
      <c r="O287" s="52"/>
      <c r="P287" s="52"/>
      <c r="Q287" s="52"/>
      <c r="R287" s="52"/>
      <c r="S287" s="52"/>
      <c r="T287" s="52"/>
      <c r="U287" s="52"/>
      <c r="V287" s="52"/>
      <c r="W287" s="52"/>
      <c r="X287" s="52"/>
      <c r="Y287" s="52"/>
      <c r="Z287" s="52"/>
    </row>
    <row r="288" spans="1:26" ht="60">
      <c r="A288" s="30" t="s">
        <v>398</v>
      </c>
      <c r="B288" s="38" t="s">
        <v>18</v>
      </c>
      <c r="C288" s="51">
        <v>43924</v>
      </c>
      <c r="D288" s="30" t="s">
        <v>359</v>
      </c>
      <c r="E288" s="30" t="s">
        <v>409</v>
      </c>
      <c r="F288" s="42" t="str">
        <f>HYPERLINK("https://www.in.gov/ihcda/files/RED%20Notice%2020-21%20Market%20Analysis.pdf","RED Notice 20-21 Market Analysis")</f>
        <v>RED Notice 20-21 Market Analysis</v>
      </c>
      <c r="G288" s="38" t="s">
        <v>10</v>
      </c>
      <c r="H288" s="52"/>
      <c r="I288" s="52"/>
      <c r="J288" s="52"/>
      <c r="K288" s="52"/>
      <c r="L288" s="52"/>
      <c r="M288" s="52"/>
      <c r="N288" s="52"/>
      <c r="O288" s="52"/>
      <c r="P288" s="52"/>
      <c r="Q288" s="52"/>
      <c r="R288" s="52"/>
      <c r="S288" s="52"/>
      <c r="T288" s="52"/>
      <c r="U288" s="52"/>
      <c r="V288" s="52"/>
      <c r="W288" s="52"/>
      <c r="X288" s="52"/>
      <c r="Y288" s="52"/>
      <c r="Z288" s="52"/>
    </row>
    <row r="289" spans="1:26" ht="240">
      <c r="A289" s="30" t="s">
        <v>398</v>
      </c>
      <c r="B289" s="38" t="s">
        <v>18</v>
      </c>
      <c r="C289" s="51">
        <v>43925</v>
      </c>
      <c r="D289" s="30" t="s">
        <v>359</v>
      </c>
      <c r="E289" s="67" t="s">
        <v>410</v>
      </c>
      <c r="F289" s="47" t="str">
        <f>HYPERLINK("https://www.in.gov/ihcda/files/RED%20Notice%2020-19%20Compliance%20Guidance.pdf","RED Notice 20-19 Compliance Guidance")</f>
        <v>RED Notice 20-19 Compliance Guidance</v>
      </c>
      <c r="G289" s="38" t="s">
        <v>10</v>
      </c>
      <c r="H289" s="52"/>
      <c r="I289" s="52"/>
      <c r="J289" s="52"/>
      <c r="K289" s="52"/>
      <c r="L289" s="52"/>
      <c r="M289" s="52"/>
      <c r="N289" s="52"/>
      <c r="O289" s="52"/>
      <c r="P289" s="52"/>
      <c r="Q289" s="52"/>
      <c r="R289" s="52"/>
      <c r="S289" s="52"/>
      <c r="T289" s="52"/>
      <c r="U289" s="52"/>
      <c r="V289" s="52"/>
      <c r="W289" s="52"/>
      <c r="X289" s="52"/>
      <c r="Y289" s="52"/>
      <c r="Z289" s="52"/>
    </row>
    <row r="290" spans="1:26" ht="63" customHeight="1">
      <c r="A290" s="67" t="s">
        <v>398</v>
      </c>
      <c r="B290" s="75" t="s">
        <v>18</v>
      </c>
      <c r="C290" s="76">
        <v>43966</v>
      </c>
      <c r="D290" s="77" t="s">
        <v>154</v>
      </c>
      <c r="E290" s="78" t="s">
        <v>411</v>
      </c>
      <c r="F290" s="79" t="s">
        <v>412</v>
      </c>
      <c r="G290" s="46" t="s">
        <v>10</v>
      </c>
      <c r="H290" s="52"/>
      <c r="I290" s="52"/>
      <c r="J290" s="52"/>
      <c r="K290" s="52"/>
      <c r="L290" s="52"/>
      <c r="M290" s="52"/>
      <c r="N290" s="52"/>
      <c r="O290" s="52"/>
      <c r="P290" s="52"/>
      <c r="Q290" s="52"/>
      <c r="R290" s="52"/>
      <c r="S290" s="52"/>
      <c r="T290" s="52"/>
      <c r="U290" s="52"/>
      <c r="V290" s="52"/>
      <c r="W290" s="52"/>
      <c r="X290" s="52"/>
      <c r="Y290" s="52"/>
      <c r="Z290" s="52"/>
    </row>
    <row r="291" spans="1:26" ht="30">
      <c r="A291" s="69" t="s">
        <v>413</v>
      </c>
      <c r="B291" s="82" t="s">
        <v>1054</v>
      </c>
      <c r="C291" s="83">
        <v>43980</v>
      </c>
      <c r="D291" s="69" t="s">
        <v>13</v>
      </c>
      <c r="E291" s="69" t="s">
        <v>1055</v>
      </c>
      <c r="F291" s="40" t="s">
        <v>1056</v>
      </c>
      <c r="G291" s="46" t="s">
        <v>10</v>
      </c>
      <c r="H291" s="52"/>
      <c r="I291" s="52"/>
      <c r="J291" s="52"/>
      <c r="K291" s="52"/>
      <c r="L291" s="52"/>
      <c r="M291" s="52"/>
      <c r="N291" s="52"/>
      <c r="O291" s="52"/>
      <c r="P291" s="52"/>
      <c r="Q291" s="52"/>
      <c r="R291" s="52"/>
      <c r="S291" s="52"/>
      <c r="T291" s="52"/>
      <c r="U291" s="52"/>
      <c r="V291" s="52"/>
      <c r="W291" s="52"/>
      <c r="X291" s="52"/>
      <c r="Y291" s="52"/>
      <c r="Z291" s="52"/>
    </row>
    <row r="292" spans="1:26" ht="45">
      <c r="A292" s="68" t="s">
        <v>413</v>
      </c>
      <c r="B292" s="80" t="s">
        <v>414</v>
      </c>
      <c r="C292" s="81">
        <v>43949</v>
      </c>
      <c r="D292" s="68" t="s">
        <v>13</v>
      </c>
      <c r="E292" s="68" t="s">
        <v>415</v>
      </c>
      <c r="F292" s="66" t="s">
        <v>416</v>
      </c>
      <c r="G292" s="38" t="s">
        <v>10</v>
      </c>
      <c r="H292" s="52"/>
      <c r="I292" s="52"/>
      <c r="J292" s="52"/>
      <c r="K292" s="52"/>
      <c r="L292" s="52"/>
      <c r="M292" s="52"/>
      <c r="N292" s="52"/>
      <c r="O292" s="52"/>
      <c r="P292" s="52"/>
      <c r="Q292" s="52"/>
      <c r="R292" s="52"/>
      <c r="S292" s="52"/>
      <c r="T292" s="52"/>
      <c r="U292" s="52"/>
      <c r="V292" s="52"/>
      <c r="W292" s="52"/>
      <c r="X292" s="52"/>
      <c r="Y292" s="52"/>
      <c r="Z292" s="52"/>
    </row>
    <row r="293" spans="1:26" ht="45">
      <c r="A293" s="30" t="s">
        <v>413</v>
      </c>
      <c r="B293" s="38" t="s">
        <v>417</v>
      </c>
      <c r="C293" s="51">
        <v>43914</v>
      </c>
      <c r="D293" s="30" t="s">
        <v>49</v>
      </c>
      <c r="E293" s="30" t="s">
        <v>418</v>
      </c>
      <c r="F293" s="42" t="str">
        <f>HYPERLINK("https://www.desmoinesregister.com/story/news/2020/03/24/coronavirus-iowa-polk-county-open-shelter-state-fairgrounds-homeless-people-who-contract-covid-19/2908415001/","Polk County to open shelter at Iowa State Fairgrounds for homeless people who contract COVID-19")</f>
        <v>Polk County to open shelter at Iowa State Fairgrounds for homeless people who contract COVID-19</v>
      </c>
      <c r="G293" s="38" t="s">
        <v>10</v>
      </c>
      <c r="H293" s="52"/>
      <c r="I293" s="52"/>
      <c r="J293" s="52"/>
      <c r="K293" s="52"/>
      <c r="L293" s="52"/>
      <c r="M293" s="52"/>
      <c r="N293" s="52"/>
      <c r="O293" s="52"/>
      <c r="P293" s="52"/>
      <c r="Q293" s="52"/>
      <c r="R293" s="52"/>
      <c r="S293" s="52"/>
      <c r="T293" s="52"/>
      <c r="U293" s="52"/>
      <c r="V293" s="52"/>
      <c r="W293" s="52"/>
      <c r="X293" s="52"/>
      <c r="Y293" s="52"/>
      <c r="Z293" s="52"/>
    </row>
    <row r="294" spans="1:26" ht="60">
      <c r="A294" s="30" t="s">
        <v>413</v>
      </c>
      <c r="B294" s="38" t="s">
        <v>18</v>
      </c>
      <c r="C294" s="51">
        <v>43912</v>
      </c>
      <c r="D294" s="30" t="s">
        <v>19</v>
      </c>
      <c r="E294" s="30" t="s">
        <v>419</v>
      </c>
      <c r="F294" s="42" t="str">
        <f>HYPERLINK("https://governor.iowa.gov/press-release/gov-reynolds-signs-new-proclamation-continuing-state-public-health-emergency","Gov. Reynolds signs new proclamation continuing State Public Health Emergency Declaration")</f>
        <v>Gov. Reynolds signs new proclamation continuing State Public Health Emergency Declaration</v>
      </c>
      <c r="G294" s="38" t="s">
        <v>10</v>
      </c>
      <c r="H294" s="52"/>
      <c r="I294" s="52"/>
      <c r="J294" s="52"/>
      <c r="K294" s="52"/>
      <c r="L294" s="52"/>
      <c r="M294" s="52"/>
      <c r="N294" s="52"/>
      <c r="O294" s="52"/>
      <c r="P294" s="52"/>
      <c r="Q294" s="52"/>
      <c r="R294" s="52"/>
      <c r="S294" s="52"/>
      <c r="T294" s="52"/>
      <c r="U294" s="52"/>
      <c r="V294" s="52"/>
      <c r="W294" s="52"/>
      <c r="X294" s="52"/>
      <c r="Y294" s="52"/>
      <c r="Z294" s="52"/>
    </row>
    <row r="295" spans="1:26" ht="45">
      <c r="A295" s="30" t="s">
        <v>413</v>
      </c>
      <c r="B295" s="38" t="s">
        <v>18</v>
      </c>
      <c r="C295" s="51">
        <v>44036</v>
      </c>
      <c r="D295" s="30" t="s">
        <v>13</v>
      </c>
      <c r="E295" s="30" t="s">
        <v>1168</v>
      </c>
      <c r="F295" s="43" t="s">
        <v>1169</v>
      </c>
      <c r="G295" s="38" t="s">
        <v>10</v>
      </c>
      <c r="H295" s="52"/>
      <c r="I295" s="52"/>
      <c r="J295" s="52"/>
      <c r="K295" s="52"/>
      <c r="L295" s="52"/>
      <c r="M295" s="52"/>
      <c r="N295" s="52"/>
      <c r="O295" s="52"/>
      <c r="P295" s="52"/>
      <c r="Q295" s="52"/>
      <c r="R295" s="52"/>
      <c r="S295" s="52"/>
      <c r="T295" s="52"/>
      <c r="U295" s="52"/>
      <c r="V295" s="52"/>
      <c r="W295" s="52"/>
      <c r="X295" s="52"/>
      <c r="Y295" s="52"/>
      <c r="Z295" s="52"/>
    </row>
    <row r="296" spans="1:26" ht="30">
      <c r="A296" s="30" t="s">
        <v>413</v>
      </c>
      <c r="B296" s="38" t="s">
        <v>18</v>
      </c>
      <c r="C296" s="51">
        <v>43913</v>
      </c>
      <c r="D296" s="30" t="s">
        <v>8</v>
      </c>
      <c r="E296" s="30" t="s">
        <v>420</v>
      </c>
      <c r="F296" s="42" t="str">
        <f>HYPERLINK("https://www.timesrepublican.com/news/todays-news/2020/03/iowas-prisons-will-accelerate-release-of-approved-inmates-to-mitigate-covid-19/","Iowa’s prisons will accelerate release of approved inmates to mitigate COVID-19")</f>
        <v>Iowa’s prisons will accelerate release of approved inmates to mitigate COVID-19</v>
      </c>
      <c r="G296" s="38" t="s">
        <v>10</v>
      </c>
      <c r="H296" s="52"/>
      <c r="I296" s="52"/>
      <c r="J296" s="52"/>
      <c r="K296" s="52"/>
      <c r="L296" s="52"/>
      <c r="M296" s="52"/>
      <c r="N296" s="52"/>
      <c r="O296" s="52"/>
      <c r="P296" s="52"/>
      <c r="Q296" s="52"/>
      <c r="R296" s="52"/>
      <c r="S296" s="52"/>
      <c r="T296" s="52"/>
      <c r="U296" s="52"/>
      <c r="V296" s="52"/>
      <c r="W296" s="52"/>
      <c r="X296" s="52"/>
      <c r="Y296" s="52"/>
      <c r="Z296" s="52"/>
    </row>
    <row r="297" spans="1:26" ht="33.75" customHeight="1">
      <c r="A297" s="30" t="s">
        <v>421</v>
      </c>
      <c r="B297" s="38" t="s">
        <v>18</v>
      </c>
      <c r="C297" s="51">
        <v>44060</v>
      </c>
      <c r="D297" s="30" t="s">
        <v>19</v>
      </c>
      <c r="E297" s="30" t="s">
        <v>1251</v>
      </c>
      <c r="F297" s="43" t="str">
        <f>HYPERLINK("https://s3.amazonaws.com/fn-document-service/file-by-sha384/d12bd708fe9111814110caff2ce477ce21f398bb23f3a7da590fba42c8b59adb45eb969ee2e4847f4012bcb5bc58d1d7","Temporarily prohibiting certain foreclosures and evictions")</f>
        <v>Temporarily prohibiting certain foreclosures and evictions</v>
      </c>
      <c r="G297" s="38" t="s">
        <v>10</v>
      </c>
      <c r="H297" s="52"/>
      <c r="I297" s="52"/>
      <c r="J297" s="52"/>
      <c r="K297" s="52"/>
      <c r="L297" s="52"/>
      <c r="M297" s="52"/>
      <c r="N297" s="52"/>
      <c r="O297" s="52"/>
      <c r="P297" s="52"/>
      <c r="Q297" s="52"/>
      <c r="R297" s="52"/>
      <c r="S297" s="52"/>
      <c r="T297" s="52"/>
      <c r="U297" s="52"/>
      <c r="V297" s="52"/>
      <c r="W297" s="52"/>
      <c r="X297" s="52"/>
      <c r="Y297" s="52"/>
      <c r="Z297" s="52"/>
    </row>
    <row r="298" spans="1:26" ht="33.75" customHeight="1">
      <c r="A298" s="30" t="s">
        <v>421</v>
      </c>
      <c r="B298" s="38" t="s">
        <v>18</v>
      </c>
      <c r="C298" s="51">
        <v>43915</v>
      </c>
      <c r="D298" s="30" t="s">
        <v>40</v>
      </c>
      <c r="E298" s="30" t="s">
        <v>422</v>
      </c>
      <c r="F298" s="42" t="str">
        <f>HYPERLINK("http://www.kslegislature.org/li/b2019_20/measures/sb66/","Appropriations for FY 2020, 2021 and 2022 for various state agencies.")</f>
        <v>Appropriations for FY 2020, 2021 and 2022 for various state agencies.</v>
      </c>
      <c r="G298" s="38" t="s">
        <v>24</v>
      </c>
      <c r="H298" s="52"/>
      <c r="I298" s="52"/>
      <c r="J298" s="52"/>
      <c r="K298" s="52"/>
      <c r="L298" s="52"/>
      <c r="M298" s="52"/>
      <c r="N298" s="52"/>
      <c r="O298" s="52"/>
      <c r="P298" s="52"/>
      <c r="Q298" s="52"/>
      <c r="R298" s="52"/>
      <c r="S298" s="52"/>
      <c r="T298" s="52"/>
      <c r="U298" s="52"/>
      <c r="V298" s="52"/>
      <c r="W298" s="52"/>
      <c r="X298" s="52"/>
      <c r="Y298" s="52"/>
      <c r="Z298" s="52"/>
    </row>
    <row r="299" spans="1:26" ht="75">
      <c r="A299" s="30" t="s">
        <v>421</v>
      </c>
      <c r="B299" s="38" t="s">
        <v>18</v>
      </c>
      <c r="C299" s="51">
        <v>44124</v>
      </c>
      <c r="D299" s="30" t="s">
        <v>13</v>
      </c>
      <c r="E299" s="30" t="s">
        <v>1441</v>
      </c>
      <c r="F299" s="43" t="s">
        <v>1440</v>
      </c>
      <c r="G299" s="38" t="s">
        <v>10</v>
      </c>
      <c r="H299" s="52"/>
      <c r="I299" s="52"/>
      <c r="J299" s="52"/>
      <c r="K299" s="52"/>
      <c r="L299" s="52"/>
      <c r="M299" s="52"/>
      <c r="N299" s="52"/>
      <c r="O299" s="52"/>
      <c r="P299" s="52"/>
      <c r="Q299" s="52"/>
      <c r="R299" s="52"/>
      <c r="S299" s="52"/>
      <c r="T299" s="52"/>
      <c r="U299" s="52"/>
      <c r="V299" s="52"/>
      <c r="W299" s="52"/>
      <c r="X299" s="52"/>
      <c r="Y299" s="52"/>
      <c r="Z299" s="52"/>
    </row>
    <row r="300" spans="1:26" ht="60">
      <c r="A300" s="30" t="s">
        <v>421</v>
      </c>
      <c r="B300" s="38" t="s">
        <v>18</v>
      </c>
      <c r="C300" s="51">
        <v>44006</v>
      </c>
      <c r="D300" s="30" t="s">
        <v>154</v>
      </c>
      <c r="E300" s="30" t="s">
        <v>1058</v>
      </c>
      <c r="F300" s="43" t="s">
        <v>1057</v>
      </c>
      <c r="G300" s="38" t="s">
        <v>10</v>
      </c>
      <c r="H300" s="52"/>
      <c r="I300" s="52"/>
      <c r="J300" s="52"/>
      <c r="K300" s="52"/>
      <c r="L300" s="52"/>
      <c r="M300" s="52"/>
      <c r="N300" s="52"/>
      <c r="O300" s="52"/>
      <c r="P300" s="52"/>
      <c r="Q300" s="52"/>
      <c r="R300" s="52"/>
      <c r="S300" s="52"/>
      <c r="T300" s="52"/>
      <c r="U300" s="52"/>
      <c r="V300" s="52"/>
      <c r="W300" s="52"/>
      <c r="X300" s="52"/>
      <c r="Y300" s="52"/>
      <c r="Z300" s="52"/>
    </row>
    <row r="301" spans="1:26" ht="45">
      <c r="A301" s="30" t="s">
        <v>423</v>
      </c>
      <c r="B301" s="38" t="s">
        <v>424</v>
      </c>
      <c r="C301" s="51">
        <v>43907</v>
      </c>
      <c r="D301" s="30" t="s">
        <v>19</v>
      </c>
      <c r="E301" s="30" t="s">
        <v>1059</v>
      </c>
      <c r="F301" s="42" t="str">
        <f>HYPERLINK("https://www.courier-journal.com/story/news/politics/metro-government/2020/03/17/louisville-jefferson-county-kentucky-ceases-evictions-time-being-amid-coronavirus/5064564002/","Evictions suspended in Louisville for 'foreseeable future' amid coronavirus outbreak")</f>
        <v>Evictions suspended in Louisville for 'foreseeable future' amid coronavirus outbreak</v>
      </c>
      <c r="G301" s="38" t="s">
        <v>10</v>
      </c>
      <c r="H301" s="52"/>
      <c r="I301" s="52"/>
      <c r="J301" s="52"/>
      <c r="K301" s="52"/>
      <c r="L301" s="52"/>
      <c r="M301" s="52"/>
      <c r="N301" s="52"/>
      <c r="O301" s="52"/>
      <c r="P301" s="52"/>
      <c r="Q301" s="52"/>
      <c r="R301" s="52"/>
      <c r="S301" s="52"/>
      <c r="T301" s="52"/>
      <c r="U301" s="52"/>
      <c r="V301" s="52"/>
      <c r="W301" s="52"/>
      <c r="X301" s="52"/>
      <c r="Y301" s="52"/>
      <c r="Z301" s="52"/>
    </row>
    <row r="302" spans="1:26" ht="75">
      <c r="A302" s="30" t="s">
        <v>423</v>
      </c>
      <c r="B302" s="38" t="s">
        <v>424</v>
      </c>
      <c r="C302" s="51">
        <v>43937</v>
      </c>
      <c r="D302" s="30" t="s">
        <v>13</v>
      </c>
      <c r="E302" s="30" t="s">
        <v>425</v>
      </c>
      <c r="F302" s="42" t="str">
        <f>HYPERLINK("https://www.courier-journal.com/story/news/2020/04/16/coronavirus-kentucky-louisville-moves-provide-rental-assistance/5143765002/","Rental assistance funding for households hit by COVID-19 approved by Metro Council committee")</f>
        <v>Rental assistance funding for households hit by COVID-19 approved by Metro Council committee</v>
      </c>
      <c r="G302" s="38" t="s">
        <v>10</v>
      </c>
      <c r="H302" s="52"/>
      <c r="I302" s="52"/>
      <c r="J302" s="52"/>
      <c r="K302" s="52"/>
      <c r="L302" s="52"/>
      <c r="M302" s="52"/>
      <c r="N302" s="52"/>
      <c r="O302" s="52"/>
      <c r="P302" s="52"/>
      <c r="Q302" s="52"/>
      <c r="R302" s="52"/>
      <c r="S302" s="52"/>
      <c r="T302" s="52"/>
      <c r="U302" s="52"/>
      <c r="V302" s="52"/>
      <c r="W302" s="52"/>
      <c r="X302" s="52"/>
      <c r="Y302" s="52"/>
      <c r="Z302" s="52"/>
    </row>
    <row r="303" spans="1:26" ht="45">
      <c r="A303" s="30" t="s">
        <v>423</v>
      </c>
      <c r="B303" s="38" t="s">
        <v>424</v>
      </c>
      <c r="C303" s="51">
        <v>44036</v>
      </c>
      <c r="D303" s="30" t="s">
        <v>13</v>
      </c>
      <c r="E303" s="30" t="s">
        <v>1170</v>
      </c>
      <c r="F303" s="43" t="s">
        <v>1171</v>
      </c>
      <c r="G303" s="38" t="s">
        <v>10</v>
      </c>
      <c r="H303" s="52"/>
      <c r="I303" s="52"/>
      <c r="J303" s="52"/>
      <c r="K303" s="52"/>
      <c r="L303" s="52"/>
      <c r="M303" s="52"/>
      <c r="N303" s="52"/>
      <c r="O303" s="52"/>
      <c r="P303" s="52"/>
      <c r="Q303" s="52"/>
      <c r="R303" s="52"/>
      <c r="S303" s="52"/>
      <c r="T303" s="52"/>
      <c r="U303" s="52"/>
      <c r="V303" s="52"/>
      <c r="W303" s="52"/>
      <c r="X303" s="52"/>
      <c r="Y303" s="52"/>
      <c r="Z303" s="52"/>
    </row>
    <row r="304" spans="1:26" ht="45">
      <c r="A304" s="30" t="s">
        <v>423</v>
      </c>
      <c r="B304" s="38" t="s">
        <v>426</v>
      </c>
      <c r="C304" s="51">
        <v>43949</v>
      </c>
      <c r="D304" s="30" t="s">
        <v>13</v>
      </c>
      <c r="E304" s="30" t="s">
        <v>427</v>
      </c>
      <c r="F304" s="43" t="s">
        <v>428</v>
      </c>
      <c r="G304" s="38" t="s">
        <v>10</v>
      </c>
      <c r="H304" s="52"/>
      <c r="I304" s="52"/>
      <c r="J304" s="52"/>
      <c r="K304" s="52"/>
      <c r="L304" s="52"/>
      <c r="M304" s="52"/>
      <c r="N304" s="52"/>
      <c r="O304" s="52"/>
      <c r="P304" s="52"/>
      <c r="Q304" s="52"/>
      <c r="R304" s="52"/>
      <c r="S304" s="52"/>
      <c r="T304" s="52"/>
      <c r="U304" s="52"/>
      <c r="V304" s="52"/>
      <c r="W304" s="52"/>
      <c r="X304" s="52"/>
      <c r="Y304" s="52"/>
      <c r="Z304" s="52"/>
    </row>
    <row r="305" spans="1:26" ht="30">
      <c r="A305" s="30" t="s">
        <v>423</v>
      </c>
      <c r="B305" s="38" t="s">
        <v>18</v>
      </c>
      <c r="C305" s="51">
        <v>43896</v>
      </c>
      <c r="D305" s="30" t="s">
        <v>19</v>
      </c>
      <c r="E305" s="30" t="s">
        <v>429</v>
      </c>
      <c r="F305" s="42" t="str">
        <f>HYPERLINK("https://www.nkybar.com/resources/KENTUCKY%20COURT%20OF%20JUSTICE%20RESPONSE%20TO%20COVID-19%20EMERGENCY.pdf","Supreme Court of Kentucky Executive Order 2020-215")</f>
        <v>Supreme Court of Kentucky Executive Order 2020-215</v>
      </c>
      <c r="G305" s="38" t="s">
        <v>10</v>
      </c>
      <c r="H305" s="52"/>
      <c r="I305" s="52"/>
      <c r="J305" s="52"/>
      <c r="K305" s="52"/>
      <c r="L305" s="52"/>
      <c r="M305" s="52"/>
      <c r="N305" s="52"/>
      <c r="O305" s="52"/>
      <c r="P305" s="52"/>
      <c r="Q305" s="52"/>
      <c r="R305" s="52"/>
      <c r="S305" s="52"/>
      <c r="T305" s="52"/>
      <c r="U305" s="52"/>
      <c r="V305" s="52"/>
      <c r="W305" s="52"/>
      <c r="X305" s="52"/>
      <c r="Y305" s="52"/>
      <c r="Z305" s="52"/>
    </row>
    <row r="306" spans="1:26" ht="120">
      <c r="A306" s="30" t="s">
        <v>423</v>
      </c>
      <c r="B306" s="38" t="s">
        <v>18</v>
      </c>
      <c r="C306" s="51">
        <v>44067</v>
      </c>
      <c r="D306" s="30" t="s">
        <v>13</v>
      </c>
      <c r="E306" s="30" t="s">
        <v>1307</v>
      </c>
      <c r="F306" s="43" t="s">
        <v>1308</v>
      </c>
      <c r="G306" s="38" t="s">
        <v>10</v>
      </c>
      <c r="H306" s="52"/>
      <c r="I306" s="52"/>
      <c r="J306" s="52"/>
      <c r="K306" s="52"/>
      <c r="L306" s="52"/>
      <c r="M306" s="52"/>
      <c r="N306" s="52"/>
      <c r="O306" s="52"/>
      <c r="P306" s="52"/>
      <c r="Q306" s="52"/>
      <c r="R306" s="52"/>
      <c r="S306" s="52"/>
      <c r="T306" s="52"/>
      <c r="U306" s="52"/>
      <c r="V306" s="52"/>
      <c r="W306" s="52"/>
      <c r="X306" s="52"/>
      <c r="Y306" s="52"/>
      <c r="Z306" s="52"/>
    </row>
    <row r="307" spans="1:26" ht="45">
      <c r="A307" s="30" t="s">
        <v>423</v>
      </c>
      <c r="B307" s="38" t="s">
        <v>18</v>
      </c>
      <c r="C307" s="51">
        <v>43923</v>
      </c>
      <c r="D307" s="30" t="s">
        <v>8</v>
      </c>
      <c r="E307" s="30" t="s">
        <v>1309</v>
      </c>
      <c r="F307" s="42" t="str">
        <f>HYPERLINK("https://www.wdrb.com/news/kentucky-plans-to-release-more-than-900-prisoners-because-of-the-covid-19-outbreak/article_aef84282-7541-11ea-8a18-efe5a8cf107d.html?eType=EmailBlastContent&amp;eId=14e33471-26cd-4585-b9b6-e1e52182b91c","Kentucky plans to release more than 900 prisoners because of the COVID-19 outbreak")</f>
        <v>Kentucky plans to release more than 900 prisoners because of the COVID-19 outbreak</v>
      </c>
      <c r="G307" s="38" t="s">
        <v>10</v>
      </c>
      <c r="H307" s="52"/>
      <c r="I307" s="52"/>
      <c r="J307" s="52"/>
      <c r="K307" s="52"/>
      <c r="L307" s="52"/>
      <c r="M307" s="52"/>
      <c r="N307" s="52"/>
      <c r="O307" s="52"/>
      <c r="P307" s="52"/>
      <c r="Q307" s="52"/>
      <c r="R307" s="52"/>
      <c r="S307" s="52"/>
      <c r="T307" s="52"/>
      <c r="U307" s="52"/>
      <c r="V307" s="52"/>
      <c r="W307" s="52"/>
      <c r="X307" s="52"/>
      <c r="Y307" s="52"/>
      <c r="Z307" s="52"/>
    </row>
    <row r="308" spans="1:26" ht="45">
      <c r="A308" s="30" t="s">
        <v>430</v>
      </c>
      <c r="B308" s="38" t="s">
        <v>431</v>
      </c>
      <c r="C308" s="51">
        <v>43954</v>
      </c>
      <c r="D308" s="30" t="s">
        <v>13</v>
      </c>
      <c r="E308" s="30" t="s">
        <v>432</v>
      </c>
      <c r="F308" s="43" t="s">
        <v>433</v>
      </c>
      <c r="G308" s="38" t="s">
        <v>10</v>
      </c>
      <c r="H308" s="52"/>
      <c r="I308" s="52"/>
      <c r="J308" s="52"/>
      <c r="K308" s="52"/>
      <c r="L308" s="52"/>
      <c r="M308" s="52"/>
      <c r="N308" s="52"/>
      <c r="O308" s="52"/>
      <c r="P308" s="52"/>
      <c r="Q308" s="52"/>
      <c r="R308" s="52"/>
      <c r="S308" s="52"/>
      <c r="T308" s="52"/>
      <c r="U308" s="52"/>
      <c r="V308" s="52"/>
      <c r="W308" s="52"/>
      <c r="X308" s="52"/>
      <c r="Y308" s="52"/>
      <c r="Z308" s="52"/>
    </row>
    <row r="309" spans="1:26" ht="45">
      <c r="A309" s="30" t="s">
        <v>430</v>
      </c>
      <c r="B309" s="38" t="s">
        <v>434</v>
      </c>
      <c r="C309" s="51">
        <v>43903</v>
      </c>
      <c r="D309" s="30" t="s">
        <v>19</v>
      </c>
      <c r="E309" s="30" t="s">
        <v>435</v>
      </c>
      <c r="F309" s="42" t="str">
        <f>HYPERLINK("https://www.nola.com/news/coronavirus/article_8ba8720c-6565-11ea-9c79-db9b668bf2a5.html","Residential evictions in New Orleans suspended through April in light of coronavirus threat")</f>
        <v>Residential evictions in New Orleans suspended through April in light of coronavirus threat</v>
      </c>
      <c r="G309" s="38" t="s">
        <v>10</v>
      </c>
      <c r="H309" s="52"/>
      <c r="I309" s="52"/>
      <c r="J309" s="52"/>
      <c r="K309" s="52"/>
      <c r="L309" s="52"/>
      <c r="M309" s="52"/>
      <c r="N309" s="52"/>
      <c r="O309" s="52"/>
      <c r="P309" s="52"/>
      <c r="Q309" s="52"/>
      <c r="R309" s="52"/>
      <c r="S309" s="52"/>
      <c r="T309" s="52"/>
      <c r="U309" s="52"/>
      <c r="V309" s="52"/>
      <c r="W309" s="52"/>
      <c r="X309" s="52"/>
      <c r="Y309" s="52"/>
      <c r="Z309" s="52"/>
    </row>
    <row r="310" spans="1:26" ht="75.75" customHeight="1">
      <c r="A310" s="30" t="s">
        <v>430</v>
      </c>
      <c r="B310" s="38" t="s">
        <v>434</v>
      </c>
      <c r="C310" s="51">
        <v>43922</v>
      </c>
      <c r="D310" s="30" t="s">
        <v>13</v>
      </c>
      <c r="E310" s="30" t="s">
        <v>436</v>
      </c>
      <c r="F310" s="43" t="str">
        <f>HYPERLINK("http://ovnv.org/housing-legal-assistance/","City Of New Orleans COVID-19 Rental Assistance Program Effective April 1, 2020")</f>
        <v>City Of New Orleans COVID-19 Rental Assistance Program Effective April 1, 2020</v>
      </c>
      <c r="G310" s="38" t="s">
        <v>10</v>
      </c>
      <c r="H310" s="52"/>
      <c r="I310" s="52"/>
      <c r="J310" s="52"/>
      <c r="K310" s="52"/>
      <c r="L310" s="52"/>
      <c r="M310" s="52"/>
      <c r="N310" s="52"/>
      <c r="O310" s="52"/>
      <c r="P310" s="52"/>
      <c r="Q310" s="52"/>
      <c r="R310" s="52"/>
      <c r="S310" s="52"/>
      <c r="T310" s="52"/>
      <c r="U310" s="52"/>
      <c r="V310" s="52"/>
      <c r="W310" s="52"/>
      <c r="X310" s="52"/>
      <c r="Y310" s="52"/>
      <c r="Z310" s="52"/>
    </row>
    <row r="311" spans="1:26" ht="60">
      <c r="A311" s="30" t="s">
        <v>430</v>
      </c>
      <c r="B311" s="38" t="s">
        <v>434</v>
      </c>
      <c r="C311" s="51">
        <v>43956</v>
      </c>
      <c r="D311" s="30" t="s">
        <v>13</v>
      </c>
      <c r="E311" s="30" t="s">
        <v>437</v>
      </c>
      <c r="F311" s="43" t="s">
        <v>438</v>
      </c>
      <c r="G311" s="38" t="s">
        <v>10</v>
      </c>
      <c r="H311" s="52"/>
      <c r="I311" s="52"/>
      <c r="J311" s="52"/>
      <c r="K311" s="52"/>
      <c r="L311" s="52"/>
      <c r="M311" s="52"/>
      <c r="N311" s="52"/>
      <c r="O311" s="52"/>
      <c r="P311" s="52"/>
      <c r="Q311" s="52"/>
      <c r="R311" s="52"/>
      <c r="S311" s="52"/>
      <c r="T311" s="52"/>
      <c r="U311" s="52"/>
      <c r="V311" s="52"/>
      <c r="W311" s="52"/>
      <c r="X311" s="52"/>
      <c r="Y311" s="52"/>
      <c r="Z311" s="52"/>
    </row>
    <row r="312" spans="1:26" ht="45">
      <c r="A312" s="30" t="s">
        <v>430</v>
      </c>
      <c r="B312" s="38" t="s">
        <v>434</v>
      </c>
      <c r="C312" s="51">
        <v>43916</v>
      </c>
      <c r="D312" s="30" t="s">
        <v>8</v>
      </c>
      <c r="E312" s="30" t="s">
        <v>439</v>
      </c>
      <c r="F312" s="42" t="str">
        <f>HYPERLINK("https://www.wdsu.com/article/orleans-criminal-court-judges-order-release-of-certain-inmates-amid-coronavirus-crisis/31943462","Orleans Criminal Court judges order release of certain inmates amid coronavirus crisis")</f>
        <v>Orleans Criminal Court judges order release of certain inmates amid coronavirus crisis</v>
      </c>
      <c r="G312" s="38" t="s">
        <v>10</v>
      </c>
      <c r="H312" s="52"/>
      <c r="I312" s="52"/>
      <c r="J312" s="52"/>
      <c r="K312" s="52"/>
      <c r="L312" s="52"/>
      <c r="M312" s="52"/>
      <c r="N312" s="52"/>
      <c r="O312" s="52"/>
      <c r="P312" s="52"/>
      <c r="Q312" s="52"/>
      <c r="R312" s="52"/>
      <c r="S312" s="52"/>
      <c r="T312" s="52"/>
      <c r="U312" s="52"/>
      <c r="V312" s="52"/>
      <c r="W312" s="52"/>
      <c r="X312" s="52"/>
      <c r="Y312" s="52"/>
      <c r="Z312" s="52"/>
    </row>
    <row r="313" spans="1:26" ht="45">
      <c r="A313" s="30" t="s">
        <v>430</v>
      </c>
      <c r="B313" s="38" t="s">
        <v>18</v>
      </c>
      <c r="C313" s="51">
        <v>43908</v>
      </c>
      <c r="D313" s="30" t="s">
        <v>19</v>
      </c>
      <c r="E313" s="30" t="s">
        <v>440</v>
      </c>
      <c r="F313" s="42" t="str">
        <f>HYPERLINK("https://www.thenewsstar.com/story/news/2020/03/18/louisiana-coronavirus-cases-rise-above-200-one-nations-hotspots/2863208001/","Governor John Bel Edwards suspends foreclosures, evictions; three more die in Louisiana")</f>
        <v>Governor John Bel Edwards suspends foreclosures, evictions; three more die in Louisiana</v>
      </c>
      <c r="G313" s="38" t="s">
        <v>10</v>
      </c>
      <c r="H313" s="52"/>
      <c r="I313" s="52"/>
      <c r="J313" s="52"/>
      <c r="K313" s="52"/>
      <c r="L313" s="52"/>
      <c r="M313" s="52"/>
      <c r="N313" s="52"/>
      <c r="O313" s="52"/>
      <c r="P313" s="52"/>
      <c r="Q313" s="52"/>
      <c r="R313" s="52"/>
      <c r="S313" s="52"/>
      <c r="T313" s="52"/>
      <c r="U313" s="52"/>
      <c r="V313" s="52"/>
      <c r="W313" s="52"/>
      <c r="X313" s="52"/>
      <c r="Y313" s="52"/>
      <c r="Z313" s="52"/>
    </row>
    <row r="314" spans="1:26" ht="45">
      <c r="A314" s="30" t="s">
        <v>430</v>
      </c>
      <c r="B314" s="38" t="s">
        <v>18</v>
      </c>
      <c r="C314" s="51">
        <v>44046</v>
      </c>
      <c r="D314" s="30" t="s">
        <v>13</v>
      </c>
      <c r="E314" s="30" t="s">
        <v>1392</v>
      </c>
      <c r="F314" s="43" t="s">
        <v>1393</v>
      </c>
      <c r="G314" s="38" t="s">
        <v>10</v>
      </c>
      <c r="H314" s="52"/>
      <c r="I314" s="52"/>
      <c r="J314" s="52"/>
      <c r="K314" s="52"/>
      <c r="L314" s="52"/>
      <c r="M314" s="52"/>
      <c r="N314" s="52"/>
      <c r="O314" s="52"/>
      <c r="P314" s="52"/>
      <c r="Q314" s="52"/>
      <c r="R314" s="52"/>
      <c r="S314" s="52"/>
      <c r="T314" s="52"/>
      <c r="U314" s="52"/>
      <c r="V314" s="52"/>
      <c r="W314" s="52"/>
      <c r="X314" s="52"/>
      <c r="Y314" s="52"/>
      <c r="Z314" s="52"/>
    </row>
    <row r="315" spans="1:26" ht="51.75" customHeight="1">
      <c r="A315" s="30" t="s">
        <v>430</v>
      </c>
      <c r="B315" s="38" t="s">
        <v>18</v>
      </c>
      <c r="C315" s="51">
        <v>43946</v>
      </c>
      <c r="D315" s="30" t="s">
        <v>154</v>
      </c>
      <c r="E315" s="30" t="s">
        <v>441</v>
      </c>
      <c r="F315" s="43" t="s">
        <v>442</v>
      </c>
      <c r="G315" s="38" t="s">
        <v>10</v>
      </c>
      <c r="H315" s="52"/>
      <c r="I315" s="52"/>
      <c r="J315" s="52"/>
      <c r="K315" s="52"/>
      <c r="L315" s="52"/>
      <c r="M315" s="52"/>
      <c r="N315" s="52"/>
      <c r="O315" s="52"/>
      <c r="P315" s="52"/>
      <c r="Q315" s="52"/>
      <c r="R315" s="52"/>
      <c r="S315" s="52"/>
      <c r="T315" s="52"/>
      <c r="U315" s="52"/>
      <c r="V315" s="52"/>
      <c r="W315" s="52"/>
      <c r="X315" s="52"/>
      <c r="Y315" s="52"/>
      <c r="Z315" s="52"/>
    </row>
    <row r="316" spans="1:26" ht="51.75" customHeight="1">
      <c r="A316" s="30" t="s">
        <v>443</v>
      </c>
      <c r="B316" s="38" t="s">
        <v>1310</v>
      </c>
      <c r="C316" s="51"/>
      <c r="D316" s="30" t="s">
        <v>13</v>
      </c>
      <c r="E316" s="30" t="s">
        <v>1311</v>
      </c>
      <c r="F316" s="43" t="s">
        <v>1312</v>
      </c>
      <c r="G316" s="38" t="s">
        <v>10</v>
      </c>
      <c r="H316" s="52"/>
      <c r="I316" s="52"/>
      <c r="J316" s="52"/>
      <c r="K316" s="52"/>
      <c r="L316" s="52"/>
      <c r="M316" s="52"/>
      <c r="N316" s="52"/>
      <c r="O316" s="52"/>
      <c r="P316" s="52"/>
      <c r="Q316" s="52"/>
      <c r="R316" s="52"/>
      <c r="S316" s="52"/>
      <c r="T316" s="52"/>
      <c r="U316" s="52"/>
      <c r="V316" s="52"/>
      <c r="W316" s="52"/>
      <c r="X316" s="52"/>
      <c r="Y316" s="52"/>
      <c r="Z316" s="52"/>
    </row>
    <row r="317" spans="1:26" ht="75">
      <c r="A317" s="30" t="s">
        <v>443</v>
      </c>
      <c r="B317" s="38" t="s">
        <v>444</v>
      </c>
      <c r="C317" s="51">
        <v>43913</v>
      </c>
      <c r="D317" s="30" t="s">
        <v>19</v>
      </c>
      <c r="E317" s="30" t="s">
        <v>445</v>
      </c>
      <c r="F317" s="42" t="str">
        <f>HYPERLINK("https://www.centralmaine.com/2020/03/23/portland-mayor-calls-on-landlords-to-suspend-evictions-during-crisis/","Portland mayor calls on landlords to suspend evictions during crisis")</f>
        <v>Portland mayor calls on landlords to suspend evictions during crisis</v>
      </c>
      <c r="G317" s="38" t="s">
        <v>446</v>
      </c>
      <c r="H317" s="52"/>
      <c r="I317" s="52"/>
      <c r="J317" s="52"/>
      <c r="K317" s="52"/>
      <c r="L317" s="52"/>
      <c r="M317" s="52"/>
      <c r="N317" s="52"/>
      <c r="O317" s="52"/>
      <c r="P317" s="52"/>
      <c r="Q317" s="52"/>
      <c r="R317" s="52"/>
      <c r="S317" s="52"/>
      <c r="T317" s="52"/>
      <c r="U317" s="52"/>
      <c r="V317" s="52"/>
      <c r="W317" s="52"/>
      <c r="X317" s="52"/>
      <c r="Y317" s="52"/>
      <c r="Z317" s="52"/>
    </row>
    <row r="318" spans="1:26" ht="45">
      <c r="A318" s="30" t="s">
        <v>443</v>
      </c>
      <c r="B318" s="38" t="s">
        <v>444</v>
      </c>
      <c r="C318" s="51">
        <v>44011</v>
      </c>
      <c r="D318" s="30" t="s">
        <v>13</v>
      </c>
      <c r="E318" s="30" t="s">
        <v>1172</v>
      </c>
      <c r="F318" s="43" t="s">
        <v>1173</v>
      </c>
      <c r="G318" s="38" t="s">
        <v>10</v>
      </c>
      <c r="H318" s="52"/>
      <c r="I318" s="52"/>
      <c r="J318" s="52"/>
      <c r="K318" s="52"/>
      <c r="L318" s="52"/>
      <c r="M318" s="52"/>
      <c r="N318" s="52"/>
      <c r="O318" s="52"/>
      <c r="P318" s="52"/>
      <c r="Q318" s="52"/>
      <c r="R318" s="52"/>
      <c r="S318" s="52"/>
      <c r="T318" s="52"/>
      <c r="U318" s="52"/>
      <c r="V318" s="52"/>
      <c r="W318" s="52"/>
      <c r="X318" s="52"/>
      <c r="Y318" s="52"/>
      <c r="Z318" s="52"/>
    </row>
    <row r="319" spans="1:26" ht="60">
      <c r="A319" s="30" t="s">
        <v>443</v>
      </c>
      <c r="B319" s="38" t="s">
        <v>18</v>
      </c>
      <c r="C319" s="51">
        <v>43903</v>
      </c>
      <c r="D319" s="30" t="s">
        <v>19</v>
      </c>
      <c r="E319" s="30" t="s">
        <v>447</v>
      </c>
      <c r="F319" s="42" t="str">
        <f>HYPERLINK("https://ptla.org/covid-19-maine-eviction-rental-housing-faq","COVID-19 Maine Eviction &amp; Rental Housing FAQ")</f>
        <v>COVID-19 Maine Eviction &amp; Rental Housing FAQ</v>
      </c>
      <c r="G319" s="38" t="s">
        <v>10</v>
      </c>
      <c r="H319" s="52"/>
      <c r="I319" s="52"/>
      <c r="J319" s="52"/>
      <c r="K319" s="52"/>
      <c r="L319" s="52"/>
      <c r="M319" s="52"/>
      <c r="N319" s="52"/>
      <c r="O319" s="52"/>
      <c r="P319" s="52"/>
      <c r="Q319" s="52"/>
      <c r="R319" s="52"/>
      <c r="S319" s="52"/>
      <c r="T319" s="52"/>
      <c r="U319" s="52"/>
      <c r="V319" s="52"/>
      <c r="W319" s="52"/>
      <c r="X319" s="52"/>
      <c r="Y319" s="52"/>
      <c r="Z319" s="52"/>
    </row>
    <row r="320" spans="1:26" ht="45">
      <c r="A320" s="30" t="s">
        <v>443</v>
      </c>
      <c r="B320" s="38" t="s">
        <v>18</v>
      </c>
      <c r="C320" s="51">
        <v>43958</v>
      </c>
      <c r="D320" s="30" t="s">
        <v>13</v>
      </c>
      <c r="E320" s="30" t="s">
        <v>448</v>
      </c>
      <c r="F320" s="43" t="s">
        <v>449</v>
      </c>
      <c r="G320" s="38" t="s">
        <v>10</v>
      </c>
      <c r="H320" s="52"/>
      <c r="I320" s="52"/>
      <c r="J320" s="52"/>
      <c r="K320" s="52"/>
      <c r="L320" s="52"/>
      <c r="M320" s="52"/>
      <c r="N320" s="52"/>
      <c r="O320" s="52"/>
      <c r="P320" s="52"/>
      <c r="Q320" s="52"/>
      <c r="R320" s="52"/>
      <c r="S320" s="52"/>
      <c r="T320" s="52"/>
      <c r="U320" s="52"/>
      <c r="V320" s="52"/>
      <c r="W320" s="52"/>
      <c r="X320" s="52"/>
      <c r="Y320" s="52"/>
      <c r="Z320" s="52"/>
    </row>
    <row r="321" spans="1:26" ht="90">
      <c r="A321" s="30" t="s">
        <v>443</v>
      </c>
      <c r="B321" s="38" t="s">
        <v>18</v>
      </c>
      <c r="C321" s="51">
        <v>43906</v>
      </c>
      <c r="D321" s="30" t="s">
        <v>8</v>
      </c>
      <c r="E321" s="30" t="s">
        <v>1255</v>
      </c>
      <c r="F321" s="42" t="str">
        <f>HYPERLINK("https://bangordailynews.com/2020/03/16/news/state/maine-courts-vacate-warrants-for-unpaid-fines-and-fees","Maine courts vacate warrants for unpaid fines and fees")</f>
        <v>Maine courts vacate warrants for unpaid fines and fees</v>
      </c>
      <c r="G321" s="38" t="s">
        <v>10</v>
      </c>
      <c r="H321" s="52"/>
      <c r="I321" s="52"/>
      <c r="J321" s="52"/>
      <c r="K321" s="52"/>
      <c r="L321" s="52"/>
      <c r="M321" s="52"/>
      <c r="N321" s="52"/>
      <c r="O321" s="52"/>
      <c r="P321" s="52"/>
      <c r="Q321" s="52"/>
      <c r="R321" s="52"/>
      <c r="S321" s="52"/>
      <c r="T321" s="52"/>
      <c r="U321" s="52"/>
      <c r="V321" s="52"/>
      <c r="W321" s="52"/>
      <c r="X321" s="52"/>
      <c r="Y321" s="52"/>
      <c r="Z321" s="52"/>
    </row>
    <row r="322" spans="1:26" ht="75">
      <c r="A322" s="30" t="s">
        <v>443</v>
      </c>
      <c r="B322" s="38" t="s">
        <v>18</v>
      </c>
      <c r="C322" s="51">
        <v>44007</v>
      </c>
      <c r="D322" s="30" t="s">
        <v>154</v>
      </c>
      <c r="E322" s="30" t="s">
        <v>1114</v>
      </c>
      <c r="F322" s="43" t="s">
        <v>1115</v>
      </c>
      <c r="G322" s="38" t="s">
        <v>10</v>
      </c>
      <c r="H322" s="52"/>
      <c r="I322" s="52"/>
      <c r="J322" s="52"/>
      <c r="K322" s="52"/>
      <c r="L322" s="52"/>
      <c r="M322" s="52"/>
      <c r="N322" s="52"/>
      <c r="O322" s="52"/>
      <c r="P322" s="52"/>
      <c r="Q322" s="52"/>
      <c r="R322" s="52"/>
      <c r="S322" s="52"/>
      <c r="T322" s="52"/>
      <c r="U322" s="52"/>
      <c r="V322" s="52"/>
      <c r="W322" s="52"/>
      <c r="X322" s="52"/>
      <c r="Y322" s="52"/>
      <c r="Z322" s="52"/>
    </row>
    <row r="323" spans="1:26" ht="60">
      <c r="A323" s="30" t="s">
        <v>450</v>
      </c>
      <c r="B323" s="38" t="s">
        <v>451</v>
      </c>
      <c r="C323" s="51">
        <v>43962</v>
      </c>
      <c r="D323" s="30" t="s">
        <v>13</v>
      </c>
      <c r="E323" s="30" t="s">
        <v>452</v>
      </c>
      <c r="F323" s="43" t="s">
        <v>68</v>
      </c>
      <c r="G323" s="38" t="s">
        <v>17</v>
      </c>
      <c r="H323" s="52"/>
      <c r="I323" s="52"/>
      <c r="J323" s="52"/>
      <c r="K323" s="52"/>
      <c r="L323" s="52"/>
      <c r="M323" s="52"/>
      <c r="N323" s="52"/>
      <c r="O323" s="52"/>
      <c r="P323" s="52"/>
      <c r="Q323" s="52"/>
      <c r="R323" s="52"/>
      <c r="S323" s="52"/>
      <c r="T323" s="52"/>
      <c r="U323" s="52"/>
      <c r="V323" s="52"/>
      <c r="W323" s="52"/>
      <c r="X323" s="52"/>
      <c r="Y323" s="52"/>
      <c r="Z323" s="52"/>
    </row>
    <row r="324" spans="1:26" ht="33.75" customHeight="1">
      <c r="A324" s="30" t="s">
        <v>450</v>
      </c>
      <c r="B324" s="38" t="s">
        <v>451</v>
      </c>
      <c r="C324" s="51">
        <v>43963</v>
      </c>
      <c r="D324" s="30" t="s">
        <v>13</v>
      </c>
      <c r="E324" s="30" t="s">
        <v>453</v>
      </c>
      <c r="F324" s="43" t="s">
        <v>454</v>
      </c>
      <c r="G324" s="38" t="s">
        <v>10</v>
      </c>
      <c r="H324" s="52"/>
      <c r="I324" s="52"/>
      <c r="J324" s="52"/>
      <c r="K324" s="52"/>
      <c r="L324" s="52"/>
      <c r="M324" s="52"/>
      <c r="N324" s="52"/>
      <c r="O324" s="52"/>
      <c r="P324" s="52"/>
      <c r="Q324" s="52"/>
      <c r="R324" s="52"/>
      <c r="S324" s="52"/>
      <c r="T324" s="52"/>
      <c r="U324" s="52"/>
      <c r="V324" s="52"/>
      <c r="W324" s="52"/>
      <c r="X324" s="52"/>
      <c r="Y324" s="52"/>
      <c r="Z324" s="52"/>
    </row>
    <row r="325" spans="1:26" ht="46.5" customHeight="1">
      <c r="A325" s="30" t="s">
        <v>450</v>
      </c>
      <c r="B325" s="38" t="s">
        <v>455</v>
      </c>
      <c r="C325" s="51">
        <v>43906</v>
      </c>
      <c r="D325" s="30" t="s">
        <v>19</v>
      </c>
      <c r="E325" s="30" t="s">
        <v>457</v>
      </c>
      <c r="F325" s="42" t="str">
        <f>HYPERLINK("https://www.baltimoresun.com/coronavirus/cng-co-evictions-suspended-coronavirus-20200316-57acojc32zgfnbuqr7fmuexjqe-story.html","Baltimore County suspends evictions, prohibits gatherings of more than 50 in coronavirus response")</f>
        <v>Baltimore County suspends evictions, prohibits gatherings of more than 50 in coronavirus response</v>
      </c>
      <c r="G325" s="38" t="s">
        <v>10</v>
      </c>
      <c r="H325" s="52"/>
      <c r="I325" s="52"/>
      <c r="J325" s="52"/>
      <c r="K325" s="52"/>
      <c r="L325" s="52"/>
      <c r="M325" s="52"/>
      <c r="N325" s="52"/>
      <c r="O325" s="52"/>
      <c r="P325" s="52"/>
      <c r="Q325" s="52"/>
      <c r="R325" s="52"/>
      <c r="S325" s="52"/>
      <c r="T325" s="52"/>
      <c r="U325" s="52"/>
      <c r="V325" s="52"/>
      <c r="W325" s="52"/>
      <c r="X325" s="52"/>
      <c r="Y325" s="52"/>
      <c r="Z325" s="52"/>
    </row>
    <row r="326" spans="1:26" ht="45">
      <c r="A326" s="30" t="s">
        <v>450</v>
      </c>
      <c r="B326" s="38" t="s">
        <v>455</v>
      </c>
      <c r="C326" s="51">
        <v>43914</v>
      </c>
      <c r="D326" s="30" t="s">
        <v>49</v>
      </c>
      <c r="E326" s="30" t="s">
        <v>456</v>
      </c>
      <c r="F326" s="42" t="str">
        <f>HYPERLINK("https://drive.google.com/drive/folders/1QJOAuWbVvsmcEw61iUaEUcO0SsARpR9v","COVID-19: Response Plan for People Experiencing Homelessness Public Summary")</f>
        <v>COVID-19: Response Plan for People Experiencing Homelessness Public Summary</v>
      </c>
      <c r="G326" s="38" t="s">
        <v>10</v>
      </c>
      <c r="H326" s="52"/>
      <c r="I326" s="52"/>
      <c r="J326" s="52"/>
      <c r="K326" s="52"/>
      <c r="L326" s="52"/>
      <c r="M326" s="52"/>
      <c r="N326" s="52"/>
      <c r="O326" s="52"/>
      <c r="P326" s="52"/>
      <c r="Q326" s="52"/>
      <c r="R326" s="52"/>
      <c r="S326" s="52"/>
      <c r="T326" s="52"/>
      <c r="U326" s="52"/>
      <c r="V326" s="52"/>
      <c r="W326" s="52"/>
      <c r="X326" s="52"/>
      <c r="Y326" s="52"/>
      <c r="Z326" s="52"/>
    </row>
    <row r="327" spans="1:26" ht="45">
      <c r="A327" s="30" t="s">
        <v>450</v>
      </c>
      <c r="B327" s="38" t="s">
        <v>455</v>
      </c>
      <c r="C327" s="51">
        <v>43991</v>
      </c>
      <c r="D327" s="30" t="s">
        <v>13</v>
      </c>
      <c r="E327" s="30" t="s">
        <v>1077</v>
      </c>
      <c r="F327" s="43" t="s">
        <v>1076</v>
      </c>
      <c r="G327" s="38" t="s">
        <v>10</v>
      </c>
      <c r="H327" s="52"/>
      <c r="I327" s="52"/>
      <c r="J327" s="52"/>
      <c r="K327" s="52"/>
      <c r="L327" s="52"/>
      <c r="M327" s="52"/>
      <c r="N327" s="52"/>
      <c r="O327" s="52"/>
      <c r="P327" s="52"/>
      <c r="Q327" s="52"/>
      <c r="R327" s="52"/>
      <c r="S327" s="52"/>
      <c r="T327" s="52"/>
      <c r="U327" s="52"/>
      <c r="V327" s="52"/>
      <c r="W327" s="52"/>
      <c r="X327" s="52"/>
      <c r="Y327" s="52"/>
      <c r="Z327" s="52"/>
    </row>
    <row r="328" spans="1:26" ht="60">
      <c r="A328" s="30" t="s">
        <v>450</v>
      </c>
      <c r="B328" s="38" t="s">
        <v>455</v>
      </c>
      <c r="C328" s="51">
        <v>44111</v>
      </c>
      <c r="D328" s="30" t="s">
        <v>13</v>
      </c>
      <c r="E328" s="30" t="s">
        <v>1395</v>
      </c>
      <c r="F328" s="43" t="s">
        <v>1396</v>
      </c>
      <c r="G328" s="38" t="s">
        <v>10</v>
      </c>
      <c r="H328" s="52"/>
      <c r="I328" s="52"/>
      <c r="J328" s="52"/>
      <c r="K328" s="52"/>
      <c r="L328" s="52"/>
      <c r="M328" s="52"/>
      <c r="N328" s="52"/>
      <c r="O328" s="52"/>
      <c r="P328" s="52"/>
      <c r="Q328" s="52"/>
      <c r="R328" s="52"/>
      <c r="S328" s="52"/>
      <c r="T328" s="52"/>
      <c r="U328" s="52"/>
      <c r="V328" s="52"/>
      <c r="W328" s="52"/>
      <c r="X328" s="52"/>
      <c r="Y328" s="52"/>
      <c r="Z328" s="52"/>
    </row>
    <row r="329" spans="1:26" ht="90">
      <c r="A329" s="30" t="s">
        <v>450</v>
      </c>
      <c r="B329" s="38" t="s">
        <v>455</v>
      </c>
      <c r="C329" s="51">
        <v>43908</v>
      </c>
      <c r="D329" s="30" t="s">
        <v>8</v>
      </c>
      <c r="E329" s="30" t="s">
        <v>458</v>
      </c>
      <c r="F329" s="42" t="str">
        <f>HYPERLINK("https://thehill.com/policy/healthcare/488304-baltimore-to-stop-prosecuting-some-non-violent-charges-amid-coronavirus","Baltimore State’s Attorney Mosby to stop prosecuting drug possession, prostitution, other crimes amid coronavirus")</f>
        <v>Baltimore State’s Attorney Mosby to stop prosecuting drug possession, prostitution, other crimes amid coronavirus</v>
      </c>
      <c r="G329" s="38" t="s">
        <v>10</v>
      </c>
      <c r="H329" s="52"/>
      <c r="I329" s="52"/>
      <c r="J329" s="52"/>
      <c r="K329" s="52"/>
      <c r="L329" s="52"/>
      <c r="M329" s="52"/>
      <c r="N329" s="52"/>
      <c r="O329" s="52"/>
      <c r="P329" s="52"/>
      <c r="Q329" s="52"/>
      <c r="R329" s="52"/>
      <c r="S329" s="52"/>
      <c r="T329" s="52"/>
      <c r="U329" s="52"/>
      <c r="V329" s="52"/>
      <c r="W329" s="52"/>
      <c r="X329" s="52"/>
      <c r="Y329" s="52"/>
      <c r="Z329" s="52"/>
    </row>
    <row r="330" spans="1:26" ht="60">
      <c r="A330" s="30" t="s">
        <v>450</v>
      </c>
      <c r="B330" s="38" t="s">
        <v>1176</v>
      </c>
      <c r="C330" s="51">
        <v>44025</v>
      </c>
      <c r="D330" s="30" t="s">
        <v>13</v>
      </c>
      <c r="E330" s="30" t="s">
        <v>1177</v>
      </c>
      <c r="F330" s="43" t="s">
        <v>1178</v>
      </c>
      <c r="G330" s="38" t="s">
        <v>10</v>
      </c>
      <c r="H330" s="52"/>
      <c r="I330" s="52"/>
      <c r="J330" s="52"/>
      <c r="K330" s="52"/>
      <c r="L330" s="52"/>
      <c r="M330" s="52"/>
      <c r="N330" s="52"/>
      <c r="O330" s="52"/>
      <c r="P330" s="52"/>
      <c r="Q330" s="52"/>
      <c r="R330" s="52"/>
      <c r="S330" s="52"/>
      <c r="T330" s="52"/>
      <c r="U330" s="52"/>
      <c r="V330" s="52"/>
      <c r="W330" s="52"/>
      <c r="X330" s="52"/>
      <c r="Y330" s="52"/>
      <c r="Z330" s="52"/>
    </row>
    <row r="331" spans="1:26" ht="45">
      <c r="A331" s="30" t="s">
        <v>450</v>
      </c>
      <c r="B331" s="38" t="s">
        <v>459</v>
      </c>
      <c r="C331" s="51">
        <v>43959</v>
      </c>
      <c r="D331" s="30" t="s">
        <v>13</v>
      </c>
      <c r="E331" s="30" t="s">
        <v>460</v>
      </c>
      <c r="F331" s="43" t="s">
        <v>461</v>
      </c>
      <c r="G331" s="38" t="s">
        <v>10</v>
      </c>
      <c r="H331" s="52"/>
      <c r="I331" s="52"/>
      <c r="J331" s="52"/>
      <c r="K331" s="52"/>
      <c r="L331" s="52"/>
      <c r="M331" s="52"/>
      <c r="N331" s="52"/>
      <c r="O331" s="52"/>
      <c r="P331" s="52"/>
      <c r="Q331" s="52"/>
      <c r="R331" s="52"/>
      <c r="S331" s="52"/>
      <c r="T331" s="52"/>
      <c r="U331" s="52"/>
      <c r="V331" s="52"/>
      <c r="W331" s="52"/>
      <c r="X331" s="52"/>
      <c r="Y331" s="52"/>
      <c r="Z331" s="52"/>
    </row>
    <row r="332" spans="1:26" ht="90">
      <c r="A332" s="30" t="s">
        <v>450</v>
      </c>
      <c r="B332" s="38" t="s">
        <v>462</v>
      </c>
      <c r="C332" s="51">
        <v>43927</v>
      </c>
      <c r="D332" s="30" t="s">
        <v>19</v>
      </c>
      <c r="E332" s="30" t="s">
        <v>463</v>
      </c>
      <c r="F332" s="42" t="str">
        <f>HYPERLINK("https://s3.amazonaws.com/fn-document-service/file-by-sha384/a3135fed4e7ce737250261138526f476c6bbb31e887b50dc9414ef3f25d39a21975590744723ff5c4303035060cd4fad#page=5","Howard County Council Agenda")</f>
        <v>Howard County Council Agenda</v>
      </c>
      <c r="G332" s="38" t="s">
        <v>10</v>
      </c>
      <c r="H332" s="52"/>
      <c r="I332" s="52"/>
      <c r="J332" s="52"/>
      <c r="K332" s="52"/>
      <c r="L332" s="52"/>
      <c r="M332" s="52"/>
      <c r="N332" s="52"/>
      <c r="O332" s="52"/>
      <c r="P332" s="52"/>
      <c r="Q332" s="52"/>
      <c r="R332" s="52"/>
      <c r="S332" s="52"/>
      <c r="T332" s="52"/>
      <c r="U332" s="52"/>
      <c r="V332" s="52"/>
      <c r="W332" s="52"/>
      <c r="X332" s="52"/>
      <c r="Y332" s="52"/>
      <c r="Z332" s="52"/>
    </row>
    <row r="333" spans="1:26" ht="60">
      <c r="A333" s="30" t="s">
        <v>450</v>
      </c>
      <c r="B333" s="38" t="s">
        <v>462</v>
      </c>
      <c r="C333" s="51">
        <v>43959</v>
      </c>
      <c r="D333" s="30" t="s">
        <v>13</v>
      </c>
      <c r="E333" s="30" t="s">
        <v>464</v>
      </c>
      <c r="F333" s="43" t="s">
        <v>465</v>
      </c>
      <c r="G333" s="38" t="s">
        <v>10</v>
      </c>
      <c r="H333" s="52"/>
      <c r="I333" s="52"/>
      <c r="J333" s="52"/>
      <c r="K333" s="52"/>
      <c r="L333" s="52"/>
      <c r="M333" s="52"/>
      <c r="N333" s="52"/>
      <c r="O333" s="52"/>
      <c r="P333" s="52"/>
      <c r="Q333" s="52"/>
      <c r="R333" s="52"/>
      <c r="S333" s="52"/>
      <c r="T333" s="52"/>
      <c r="U333" s="52"/>
      <c r="V333" s="52"/>
      <c r="W333" s="52"/>
      <c r="X333" s="52"/>
      <c r="Y333" s="52"/>
      <c r="Z333" s="52"/>
    </row>
    <row r="334" spans="1:26" ht="60">
      <c r="A334" s="30" t="s">
        <v>450</v>
      </c>
      <c r="B334" s="38" t="s">
        <v>466</v>
      </c>
      <c r="C334" s="51">
        <v>43949</v>
      </c>
      <c r="D334" s="30" t="s">
        <v>13</v>
      </c>
      <c r="E334" s="30" t="s">
        <v>467</v>
      </c>
      <c r="F334" s="43" t="s">
        <v>468</v>
      </c>
      <c r="G334" s="38" t="s">
        <v>10</v>
      </c>
      <c r="H334" s="52"/>
      <c r="I334" s="52"/>
      <c r="J334" s="52"/>
      <c r="K334" s="52"/>
      <c r="L334" s="52"/>
      <c r="M334" s="52"/>
      <c r="N334" s="52"/>
      <c r="O334" s="52"/>
      <c r="P334" s="52"/>
      <c r="Q334" s="52"/>
      <c r="R334" s="52"/>
      <c r="S334" s="52"/>
      <c r="T334" s="52"/>
      <c r="U334" s="52"/>
      <c r="V334" s="52"/>
      <c r="W334" s="52"/>
      <c r="X334" s="52"/>
      <c r="Y334" s="52"/>
      <c r="Z334" s="52"/>
    </row>
    <row r="335" spans="1:26" ht="45">
      <c r="A335" s="30" t="s">
        <v>450</v>
      </c>
      <c r="B335" s="38" t="s">
        <v>1313</v>
      </c>
      <c r="C335" s="51">
        <v>44089</v>
      </c>
      <c r="D335" s="30" t="s">
        <v>13</v>
      </c>
      <c r="E335" s="30" t="s">
        <v>1314</v>
      </c>
      <c r="F335" s="43" t="s">
        <v>1315</v>
      </c>
      <c r="G335" s="38" t="s">
        <v>10</v>
      </c>
      <c r="H335" s="52"/>
      <c r="I335" s="52"/>
      <c r="J335" s="52"/>
      <c r="K335" s="52"/>
      <c r="L335" s="52"/>
      <c r="M335" s="52"/>
      <c r="N335" s="52"/>
      <c r="O335" s="52"/>
      <c r="P335" s="52"/>
      <c r="Q335" s="52"/>
      <c r="R335" s="52"/>
      <c r="S335" s="52"/>
      <c r="T335" s="52"/>
      <c r="U335" s="52"/>
      <c r="V335" s="52"/>
      <c r="W335" s="52"/>
      <c r="X335" s="52"/>
      <c r="Y335" s="52"/>
      <c r="Z335" s="52"/>
    </row>
    <row r="336" spans="1:26" ht="33.75" customHeight="1">
      <c r="A336" s="30" t="s">
        <v>450</v>
      </c>
      <c r="B336" s="38" t="s">
        <v>469</v>
      </c>
      <c r="C336" s="51">
        <v>43962</v>
      </c>
      <c r="D336" s="30" t="s">
        <v>13</v>
      </c>
      <c r="E336" s="30" t="s">
        <v>470</v>
      </c>
      <c r="F336" s="43" t="s">
        <v>68</v>
      </c>
      <c r="G336" s="38" t="s">
        <v>10</v>
      </c>
      <c r="H336" s="52"/>
      <c r="I336" s="52"/>
      <c r="J336" s="52"/>
      <c r="K336" s="52"/>
      <c r="L336" s="52"/>
      <c r="M336" s="52"/>
      <c r="N336" s="52"/>
      <c r="O336" s="52"/>
      <c r="P336" s="52"/>
      <c r="Q336" s="52"/>
      <c r="R336" s="52"/>
      <c r="S336" s="52"/>
      <c r="T336" s="52"/>
      <c r="U336" s="52"/>
      <c r="V336" s="52"/>
      <c r="W336" s="52"/>
      <c r="X336" s="52"/>
      <c r="Y336" s="52"/>
      <c r="Z336" s="52"/>
    </row>
    <row r="337" spans="1:26" ht="109.5" customHeight="1">
      <c r="A337" s="30" t="s">
        <v>450</v>
      </c>
      <c r="B337" s="38" t="s">
        <v>471</v>
      </c>
      <c r="C337" s="51">
        <v>43962</v>
      </c>
      <c r="D337" s="30" t="s">
        <v>13</v>
      </c>
      <c r="E337" s="30" t="s">
        <v>1338</v>
      </c>
      <c r="F337" s="43" t="s">
        <v>68</v>
      </c>
      <c r="G337" s="38" t="s">
        <v>10</v>
      </c>
      <c r="H337" s="52"/>
      <c r="I337" s="52"/>
      <c r="J337" s="52"/>
      <c r="K337" s="52"/>
      <c r="L337" s="52"/>
      <c r="M337" s="52"/>
      <c r="N337" s="52"/>
      <c r="O337" s="52"/>
      <c r="P337" s="52"/>
      <c r="Q337" s="52"/>
      <c r="R337" s="52"/>
      <c r="S337" s="52"/>
      <c r="T337" s="52"/>
      <c r="U337" s="52"/>
      <c r="V337" s="52"/>
      <c r="W337" s="52"/>
      <c r="X337" s="52"/>
      <c r="Y337" s="52"/>
      <c r="Z337" s="52"/>
    </row>
    <row r="338" spans="1:26" ht="60">
      <c r="A338" s="30" t="s">
        <v>450</v>
      </c>
      <c r="B338" s="38" t="s">
        <v>18</v>
      </c>
      <c r="C338" s="51">
        <v>44008</v>
      </c>
      <c r="D338" s="30" t="s">
        <v>13</v>
      </c>
      <c r="E338" s="30" t="s">
        <v>1071</v>
      </c>
      <c r="F338" s="43" t="s">
        <v>1072</v>
      </c>
      <c r="G338" s="38" t="s">
        <v>10</v>
      </c>
      <c r="H338" s="52"/>
      <c r="I338" s="52"/>
      <c r="J338" s="52"/>
      <c r="K338" s="52"/>
      <c r="L338" s="52"/>
      <c r="M338" s="52"/>
      <c r="N338" s="52"/>
      <c r="O338" s="52"/>
      <c r="P338" s="52"/>
      <c r="Q338" s="52"/>
      <c r="R338" s="52"/>
      <c r="S338" s="52"/>
      <c r="T338" s="52"/>
      <c r="U338" s="52"/>
      <c r="V338" s="52"/>
      <c r="W338" s="52"/>
      <c r="X338" s="52"/>
      <c r="Y338" s="52"/>
      <c r="Z338" s="52"/>
    </row>
    <row r="339" spans="1:26" ht="30">
      <c r="A339" s="30" t="s">
        <v>450</v>
      </c>
      <c r="B339" s="38" t="s">
        <v>18</v>
      </c>
      <c r="C339" s="51">
        <v>44029</v>
      </c>
      <c r="D339" s="30" t="s">
        <v>13</v>
      </c>
      <c r="E339" s="30" t="s">
        <v>1174</v>
      </c>
      <c r="F339" s="43" t="s">
        <v>1175</v>
      </c>
      <c r="G339" s="38" t="s">
        <v>10</v>
      </c>
      <c r="H339" s="52"/>
      <c r="I339" s="52"/>
      <c r="J339" s="52"/>
      <c r="K339" s="52"/>
      <c r="L339" s="52"/>
      <c r="M339" s="52"/>
      <c r="N339" s="52"/>
      <c r="O339" s="52"/>
      <c r="P339" s="52"/>
      <c r="Q339" s="52"/>
      <c r="R339" s="52"/>
      <c r="S339" s="52"/>
      <c r="T339" s="52"/>
      <c r="U339" s="52"/>
      <c r="V339" s="52"/>
      <c r="W339" s="52"/>
      <c r="X339" s="52"/>
      <c r="Y339" s="52"/>
      <c r="Z339" s="52"/>
    </row>
    <row r="340" spans="1:26" ht="45">
      <c r="A340" s="30" t="s">
        <v>450</v>
      </c>
      <c r="B340" s="38" t="s">
        <v>0</v>
      </c>
      <c r="C340" s="51">
        <v>43906</v>
      </c>
      <c r="D340" s="30" t="s">
        <v>19</v>
      </c>
      <c r="E340" s="30" t="s">
        <v>472</v>
      </c>
      <c r="F340" s="42" t="str">
        <f>HYPERLINK("https://baltimore.cbslocal.com/2020/03/16/coronavirus-update-gov-hogan-prohibits-evictions-service-shutoffs-during-state-of-emergency/","Coronavirus Update: Gov. Hogan Prohibits Evictions, Service Shutoffs During State Of Emergency")</f>
        <v>Coronavirus Update: Gov. Hogan Prohibits Evictions, Service Shutoffs During State Of Emergency</v>
      </c>
      <c r="G340" s="38" t="s">
        <v>10</v>
      </c>
      <c r="H340" s="52"/>
      <c r="I340" s="52"/>
      <c r="J340" s="52"/>
      <c r="K340" s="52"/>
      <c r="L340" s="52"/>
      <c r="M340" s="52"/>
      <c r="N340" s="52"/>
      <c r="O340" s="52"/>
      <c r="P340" s="52"/>
      <c r="Q340" s="52"/>
      <c r="R340" s="52"/>
      <c r="S340" s="52"/>
      <c r="T340" s="52"/>
      <c r="U340" s="52"/>
      <c r="V340" s="52"/>
      <c r="W340" s="52"/>
      <c r="X340" s="52"/>
      <c r="Y340" s="52"/>
      <c r="Z340" s="52"/>
    </row>
    <row r="341" spans="1:26" ht="45.75" customHeight="1">
      <c r="A341" s="30" t="s">
        <v>473</v>
      </c>
      <c r="B341" s="38" t="s">
        <v>1180</v>
      </c>
      <c r="C341" s="51">
        <v>44020</v>
      </c>
      <c r="D341" s="30" t="s">
        <v>13</v>
      </c>
      <c r="E341" s="30" t="s">
        <v>1181</v>
      </c>
      <c r="F341" s="43" t="s">
        <v>1182</v>
      </c>
      <c r="G341" s="38" t="s">
        <v>10</v>
      </c>
      <c r="H341" s="52"/>
      <c r="I341" s="52"/>
      <c r="J341" s="52"/>
      <c r="K341" s="52"/>
      <c r="L341" s="52"/>
      <c r="M341" s="52"/>
      <c r="N341" s="52"/>
      <c r="O341" s="52"/>
      <c r="P341" s="52"/>
      <c r="Q341" s="52"/>
      <c r="R341" s="52"/>
      <c r="S341" s="52"/>
      <c r="T341" s="52"/>
      <c r="U341" s="52"/>
      <c r="V341" s="52"/>
      <c r="W341" s="52"/>
      <c r="X341" s="52"/>
      <c r="Y341" s="52"/>
      <c r="Z341" s="52"/>
    </row>
    <row r="342" spans="1:26" ht="75">
      <c r="A342" s="30" t="s">
        <v>473</v>
      </c>
      <c r="B342" s="38" t="s">
        <v>1318</v>
      </c>
      <c r="C342" s="51">
        <v>44011</v>
      </c>
      <c r="D342" s="30" t="s">
        <v>13</v>
      </c>
      <c r="E342" s="30" t="s">
        <v>1319</v>
      </c>
      <c r="F342" s="43" t="s">
        <v>1320</v>
      </c>
      <c r="G342" s="38" t="s">
        <v>10</v>
      </c>
      <c r="H342" s="52"/>
      <c r="I342" s="52"/>
      <c r="J342" s="52"/>
      <c r="K342" s="52"/>
      <c r="L342" s="52"/>
      <c r="M342" s="52"/>
      <c r="N342" s="52"/>
      <c r="O342" s="52"/>
      <c r="P342" s="52"/>
      <c r="Q342" s="52"/>
      <c r="R342" s="52"/>
      <c r="S342" s="52"/>
      <c r="T342" s="52"/>
      <c r="U342" s="52"/>
      <c r="V342" s="52"/>
      <c r="W342" s="52"/>
      <c r="X342" s="52"/>
      <c r="Y342" s="52"/>
      <c r="Z342" s="52"/>
    </row>
    <row r="343" spans="1:26" ht="135" customHeight="1">
      <c r="A343" s="30" t="s">
        <v>473</v>
      </c>
      <c r="B343" s="38" t="s">
        <v>1321</v>
      </c>
      <c r="C343" s="51">
        <v>44034</v>
      </c>
      <c r="D343" s="30" t="s">
        <v>13</v>
      </c>
      <c r="E343" s="30" t="s">
        <v>1322</v>
      </c>
      <c r="F343" s="43" t="s">
        <v>1323</v>
      </c>
      <c r="G343" s="38" t="s">
        <v>10</v>
      </c>
      <c r="H343" s="52"/>
      <c r="I343" s="52"/>
      <c r="J343" s="52"/>
      <c r="K343" s="52"/>
      <c r="L343" s="52"/>
      <c r="M343" s="52"/>
      <c r="N343" s="52"/>
      <c r="O343" s="52"/>
      <c r="P343" s="52"/>
      <c r="Q343" s="52"/>
      <c r="R343" s="52"/>
      <c r="S343" s="52"/>
      <c r="T343" s="52"/>
      <c r="U343" s="52"/>
      <c r="V343" s="52"/>
      <c r="W343" s="52"/>
      <c r="X343" s="52"/>
      <c r="Y343" s="52"/>
      <c r="Z343" s="52"/>
    </row>
    <row r="344" spans="1:26" ht="45">
      <c r="A344" s="30" t="s">
        <v>473</v>
      </c>
      <c r="B344" s="38" t="s">
        <v>474</v>
      </c>
      <c r="C344" s="51">
        <v>43907</v>
      </c>
      <c r="D344" s="30" t="s">
        <v>243</v>
      </c>
      <c r="E344" s="30" t="s">
        <v>475</v>
      </c>
      <c r="F344" s="42" t="str">
        <f>HYPERLINK("https://www.bostonglobe.com/2020/03/26/business/baker-walsh-are-odds-over-coronavirus-construction-ban/","Baker, Walsh are at odds over coronavirus construction ban")</f>
        <v>Baker, Walsh are at odds over coronavirus construction ban</v>
      </c>
      <c r="G344" s="38" t="s">
        <v>10</v>
      </c>
      <c r="H344" s="52"/>
      <c r="I344" s="52"/>
      <c r="J344" s="52"/>
      <c r="K344" s="52"/>
      <c r="L344" s="52"/>
      <c r="M344" s="52"/>
      <c r="N344" s="52"/>
      <c r="O344" s="52"/>
      <c r="P344" s="52"/>
      <c r="Q344" s="52"/>
      <c r="R344" s="52"/>
      <c r="S344" s="52"/>
      <c r="T344" s="52"/>
      <c r="U344" s="52"/>
      <c r="V344" s="52"/>
      <c r="W344" s="52"/>
      <c r="X344" s="52"/>
      <c r="Y344" s="52"/>
      <c r="Z344" s="52"/>
    </row>
    <row r="345" spans="1:26" ht="60">
      <c r="A345" s="30" t="s">
        <v>473</v>
      </c>
      <c r="B345" s="38" t="s">
        <v>474</v>
      </c>
      <c r="C345" s="51">
        <v>43904</v>
      </c>
      <c r="D345" s="30" t="s">
        <v>19</v>
      </c>
      <c r="E345" s="30" t="s">
        <v>476</v>
      </c>
      <c r="F345" s="42" t="str">
        <f>HYPERLINK("https://www.boston.com/news/local-news/2020/03/13/massachusetts-eviction-moratorium-coronavirus","Massachusetts lawmakers, officials are calling for a pause on evictions amid COVID-19")</f>
        <v>Massachusetts lawmakers, officials are calling for a pause on evictions amid COVID-19</v>
      </c>
      <c r="G345" s="38" t="s">
        <v>10</v>
      </c>
      <c r="H345" s="52"/>
      <c r="I345" s="52"/>
      <c r="J345" s="52"/>
      <c r="K345" s="52"/>
      <c r="L345" s="52"/>
      <c r="M345" s="52"/>
      <c r="N345" s="52"/>
      <c r="O345" s="52"/>
      <c r="P345" s="52"/>
      <c r="Q345" s="52"/>
      <c r="R345" s="52"/>
      <c r="S345" s="52"/>
      <c r="T345" s="52"/>
      <c r="U345" s="52"/>
      <c r="V345" s="52"/>
      <c r="W345" s="52"/>
      <c r="X345" s="52"/>
      <c r="Y345" s="52"/>
      <c r="Z345" s="52"/>
    </row>
    <row r="346" spans="1:26" ht="90">
      <c r="A346" s="30" t="s">
        <v>473</v>
      </c>
      <c r="B346" s="38" t="s">
        <v>474</v>
      </c>
      <c r="C346" s="51">
        <v>43904</v>
      </c>
      <c r="D346" s="30" t="s">
        <v>19</v>
      </c>
      <c r="E346" s="30" t="s">
        <v>477</v>
      </c>
      <c r="F346" s="42" t="str">
        <f>HYPERLINK("https://www.boston.gov/news/partnership-announced-impose-moratorium-eviction-proceedings-boston-protect-residents","PARTNERSHIP ANNOUNCED TO IMPOSE MORATORIUM ON EVICTION PROCEEDINGS IN BOSTON TO PROTECT RESIDENTS")</f>
        <v>PARTNERSHIP ANNOUNCED TO IMPOSE MORATORIUM ON EVICTION PROCEEDINGS IN BOSTON TO PROTECT RESIDENTS</v>
      </c>
      <c r="G346" s="38" t="s">
        <v>10</v>
      </c>
      <c r="H346" s="52"/>
      <c r="I346" s="52"/>
      <c r="J346" s="52"/>
      <c r="K346" s="52"/>
      <c r="L346" s="52"/>
      <c r="M346" s="52"/>
      <c r="N346" s="52"/>
      <c r="O346" s="52"/>
      <c r="P346" s="52"/>
      <c r="Q346" s="52"/>
      <c r="R346" s="52"/>
      <c r="S346" s="52"/>
      <c r="T346" s="52"/>
      <c r="U346" s="52"/>
      <c r="V346" s="52"/>
      <c r="W346" s="52"/>
      <c r="X346" s="52"/>
      <c r="Y346" s="52"/>
      <c r="Z346" s="52"/>
    </row>
    <row r="347" spans="1:26" ht="60">
      <c r="A347" s="30" t="s">
        <v>473</v>
      </c>
      <c r="B347" s="38" t="s">
        <v>474</v>
      </c>
      <c r="C347" s="51">
        <v>43919</v>
      </c>
      <c r="D347" s="30" t="s">
        <v>49</v>
      </c>
      <c r="E347" s="30" t="s">
        <v>478</v>
      </c>
      <c r="F347" s="42" t="str">
        <f>HYPERLINK("https://www.boston.gov/news/city-boston-increasing-care-capacity-targeted-interventions-those-experiencing-homelessness","CITY OF BOSTON INCREASING CARE CAPACITY, TARGETED INTERVENTIONS FOR THOSE EXPERIENCING HOMELESSNESS")</f>
        <v>CITY OF BOSTON INCREASING CARE CAPACITY, TARGETED INTERVENTIONS FOR THOSE EXPERIENCING HOMELESSNESS</v>
      </c>
      <c r="G347" s="38" t="s">
        <v>10</v>
      </c>
      <c r="H347" s="52"/>
      <c r="I347" s="52"/>
      <c r="J347" s="52"/>
      <c r="K347" s="52"/>
      <c r="L347" s="52"/>
      <c r="M347" s="52"/>
      <c r="N347" s="52"/>
      <c r="O347" s="52"/>
      <c r="P347" s="52"/>
      <c r="Q347" s="52"/>
      <c r="R347" s="52"/>
      <c r="S347" s="52"/>
      <c r="T347" s="52"/>
      <c r="U347" s="52"/>
      <c r="V347" s="52"/>
      <c r="W347" s="52"/>
      <c r="X347" s="52"/>
      <c r="Y347" s="52"/>
      <c r="Z347" s="52"/>
    </row>
    <row r="348" spans="1:26" ht="75">
      <c r="A348" s="30" t="s">
        <v>473</v>
      </c>
      <c r="B348" s="38" t="s">
        <v>474</v>
      </c>
      <c r="C348" s="51">
        <v>43926</v>
      </c>
      <c r="D348" s="30" t="s">
        <v>13</v>
      </c>
      <c r="E348" s="30" t="s">
        <v>479</v>
      </c>
      <c r="F348" s="42" t="str">
        <f>HYPERLINK("https://www.boston.gov/news/3-million-fund-help-bostonians-pay-their-rent-during-covid-19-pandemic","$3 Million Fund to Help Bostonians Pay Their Rent During COVID-19 Pandemic")</f>
        <v>$3 Million Fund to Help Bostonians Pay Their Rent During COVID-19 Pandemic</v>
      </c>
      <c r="G348" s="38" t="s">
        <v>10</v>
      </c>
      <c r="H348" s="52"/>
      <c r="I348" s="52"/>
      <c r="J348" s="52"/>
      <c r="K348" s="52"/>
      <c r="L348" s="52"/>
      <c r="M348" s="52"/>
      <c r="N348" s="52"/>
      <c r="O348" s="52"/>
      <c r="P348" s="52"/>
      <c r="Q348" s="52"/>
      <c r="R348" s="52"/>
      <c r="S348" s="52"/>
      <c r="T348" s="52"/>
      <c r="U348" s="52"/>
      <c r="V348" s="52"/>
      <c r="W348" s="52"/>
      <c r="X348" s="52"/>
      <c r="Y348" s="52"/>
      <c r="Z348" s="52"/>
    </row>
    <row r="349" spans="1:26" ht="90">
      <c r="A349" s="30" t="s">
        <v>473</v>
      </c>
      <c r="B349" s="38" t="s">
        <v>474</v>
      </c>
      <c r="C349" s="51">
        <v>43920</v>
      </c>
      <c r="D349" s="30" t="s">
        <v>13</v>
      </c>
      <c r="E349" s="30" t="s">
        <v>480</v>
      </c>
      <c r="F349" s="42" t="s">
        <v>481</v>
      </c>
      <c r="G349" s="38" t="s">
        <v>10</v>
      </c>
      <c r="H349" s="52"/>
      <c r="I349" s="52"/>
      <c r="J349" s="52"/>
      <c r="K349" s="52"/>
      <c r="L349" s="52"/>
      <c r="M349" s="52"/>
      <c r="N349" s="52"/>
      <c r="O349" s="52"/>
      <c r="P349" s="52"/>
      <c r="Q349" s="52"/>
      <c r="R349" s="52"/>
      <c r="S349" s="52"/>
      <c r="T349" s="52"/>
      <c r="U349" s="52"/>
      <c r="V349" s="52"/>
      <c r="W349" s="52"/>
      <c r="X349" s="52"/>
      <c r="Y349" s="52"/>
      <c r="Z349" s="52"/>
    </row>
    <row r="350" spans="1:26" ht="93" customHeight="1">
      <c r="A350" s="30" t="s">
        <v>473</v>
      </c>
      <c r="B350" s="38" t="s">
        <v>474</v>
      </c>
      <c r="C350" s="51">
        <v>43919</v>
      </c>
      <c r="D350" s="30" t="s">
        <v>296</v>
      </c>
      <c r="E350" s="30" t="s">
        <v>482</v>
      </c>
      <c r="F350" s="42" t="str">
        <f>HYPERLINK("https://www.boston.gov/news/city-boston-increasing-care-capacity-targeted-interventions-those-experiencing-homelessness","CITY OF BOSTON INCREASING CARE CAPACITY, TARGETED INTERVENTIONS FOR THOSE EXPERIENCING HOMELESSNESS")</f>
        <v>CITY OF BOSTON INCREASING CARE CAPACITY, TARGETED INTERVENTIONS FOR THOSE EXPERIENCING HOMELESSNESS</v>
      </c>
      <c r="G350" s="38" t="s">
        <v>10</v>
      </c>
      <c r="H350" s="52"/>
      <c r="I350" s="52"/>
      <c r="J350" s="52"/>
      <c r="K350" s="52"/>
      <c r="L350" s="52"/>
      <c r="M350" s="52"/>
      <c r="N350" s="52"/>
      <c r="O350" s="52"/>
      <c r="P350" s="52"/>
      <c r="Q350" s="52"/>
      <c r="R350" s="52"/>
      <c r="S350" s="52"/>
      <c r="T350" s="52"/>
      <c r="U350" s="52"/>
      <c r="V350" s="52"/>
      <c r="W350" s="52"/>
      <c r="X350" s="52"/>
      <c r="Y350" s="52"/>
      <c r="Z350" s="52"/>
    </row>
    <row r="351" spans="1:26" ht="30">
      <c r="A351" s="30" t="s">
        <v>473</v>
      </c>
      <c r="B351" s="38" t="s">
        <v>483</v>
      </c>
      <c r="C351" s="51">
        <v>43920</v>
      </c>
      <c r="D351" s="30" t="s">
        <v>19</v>
      </c>
      <c r="E351" s="30" t="s">
        <v>484</v>
      </c>
      <c r="F351" s="42" t="str">
        <f>HYPERLINK("https://s3.amazonaws.com/fn-document-service/file-by-sha384/4855bd670d84709aa6f7b1f05388f10f0551cf966bf2b79ed89e74af1d74c93953938a1714b93404cdee237dc0297ab3#page=8","City Council Agenda")</f>
        <v>City Council Agenda</v>
      </c>
      <c r="G351" s="38" t="s">
        <v>10</v>
      </c>
      <c r="H351" s="52"/>
      <c r="I351" s="52"/>
      <c r="J351" s="52"/>
      <c r="K351" s="52"/>
      <c r="L351" s="52"/>
      <c r="M351" s="52"/>
      <c r="N351" s="52"/>
      <c r="O351" s="52"/>
      <c r="P351" s="52"/>
      <c r="Q351" s="52"/>
      <c r="R351" s="52"/>
      <c r="S351" s="52"/>
      <c r="T351" s="52"/>
      <c r="U351" s="52"/>
      <c r="V351" s="52"/>
      <c r="W351" s="52"/>
      <c r="X351" s="52"/>
      <c r="Y351" s="52"/>
      <c r="Z351" s="52"/>
    </row>
    <row r="352" spans="1:26" ht="60">
      <c r="A352" s="30" t="s">
        <v>473</v>
      </c>
      <c r="B352" s="38" t="s">
        <v>483</v>
      </c>
      <c r="C352" s="51">
        <v>43966</v>
      </c>
      <c r="D352" s="30" t="s">
        <v>13</v>
      </c>
      <c r="E352" s="30" t="s">
        <v>485</v>
      </c>
      <c r="F352" s="43" t="s">
        <v>486</v>
      </c>
      <c r="G352" s="38" t="s">
        <v>10</v>
      </c>
      <c r="H352" s="52"/>
      <c r="I352" s="52"/>
      <c r="J352" s="52"/>
      <c r="K352" s="52"/>
      <c r="L352" s="52"/>
      <c r="M352" s="52"/>
      <c r="N352" s="52"/>
      <c r="O352" s="52"/>
      <c r="P352" s="52"/>
      <c r="Q352" s="52"/>
      <c r="R352" s="52"/>
      <c r="S352" s="52"/>
      <c r="T352" s="52"/>
      <c r="U352" s="52"/>
      <c r="V352" s="52"/>
      <c r="W352" s="52"/>
      <c r="X352" s="52"/>
      <c r="Y352" s="52"/>
      <c r="Z352" s="52"/>
    </row>
    <row r="353" spans="1:26" ht="77.25" customHeight="1">
      <c r="A353" s="30" t="s">
        <v>473</v>
      </c>
      <c r="B353" s="38" t="s">
        <v>1183</v>
      </c>
      <c r="C353" s="51">
        <v>44021</v>
      </c>
      <c r="D353" s="30" t="s">
        <v>13</v>
      </c>
      <c r="E353" s="30" t="s">
        <v>1184</v>
      </c>
      <c r="F353" s="43" t="s">
        <v>1185</v>
      </c>
      <c r="G353" s="38" t="s">
        <v>10</v>
      </c>
      <c r="H353" s="52"/>
      <c r="I353" s="52"/>
      <c r="J353" s="52"/>
      <c r="K353" s="52"/>
      <c r="L353" s="52"/>
      <c r="M353" s="52"/>
      <c r="N353" s="52"/>
      <c r="O353" s="52"/>
      <c r="P353" s="52"/>
      <c r="Q353" s="52"/>
      <c r="R353" s="52"/>
      <c r="S353" s="52"/>
      <c r="T353" s="52"/>
      <c r="U353" s="52"/>
      <c r="V353" s="52"/>
      <c r="W353" s="52"/>
      <c r="X353" s="52"/>
      <c r="Y353" s="52"/>
      <c r="Z353" s="52"/>
    </row>
    <row r="354" spans="1:26" ht="30">
      <c r="A354" s="30" t="s">
        <v>473</v>
      </c>
      <c r="B354" s="38" t="s">
        <v>487</v>
      </c>
      <c r="C354" s="51">
        <v>43928</v>
      </c>
      <c r="D354" s="30" t="s">
        <v>19</v>
      </c>
      <c r="E354" s="30" t="s">
        <v>488</v>
      </c>
      <c r="F354" s="42" t="str">
        <f>HYPERLINK("https://s3.amazonaws.com/fn-document-service/file-by-sha384/e88d89a3135e93b476720029a31eacceb3e7782ad8aaed08954e5366250a34f88c22ba46659cf6efc7a35c8a5d080ddf#page=","City Council Agenda")</f>
        <v>City Council Agenda</v>
      </c>
      <c r="G354" s="38" t="s">
        <v>10</v>
      </c>
      <c r="H354" s="52"/>
      <c r="I354" s="52"/>
      <c r="J354" s="52"/>
      <c r="K354" s="52"/>
      <c r="L354" s="52"/>
      <c r="M354" s="52"/>
      <c r="N354" s="52"/>
      <c r="O354" s="52"/>
      <c r="P354" s="52"/>
      <c r="Q354" s="52"/>
      <c r="R354" s="52"/>
      <c r="S354" s="52"/>
      <c r="T354" s="52"/>
      <c r="U354" s="52"/>
      <c r="V354" s="52"/>
      <c r="W354" s="52"/>
      <c r="X354" s="52"/>
      <c r="Y354" s="52"/>
      <c r="Z354" s="52"/>
    </row>
    <row r="355" spans="1:26" ht="75">
      <c r="A355" s="30" t="s">
        <v>473</v>
      </c>
      <c r="B355" s="38" t="s">
        <v>489</v>
      </c>
      <c r="C355" s="51">
        <v>43927</v>
      </c>
      <c r="D355" s="30" t="s">
        <v>13</v>
      </c>
      <c r="E355" s="30" t="s">
        <v>490</v>
      </c>
      <c r="F355" s="42" t="str">
        <f>HYPERLINK("https://s3.amazonaws.com/fn-document-service/file-by-sha384/76376481fcf76fd2f7ec39e4424488aedcf592d6a935a80819ff616093751fad265e53f612c24de37ed94ef91ee6cd4f#page=5","City Council Agenda")</f>
        <v>City Council Agenda</v>
      </c>
      <c r="G355" s="38" t="s">
        <v>10</v>
      </c>
      <c r="H355" s="52"/>
      <c r="I355" s="52"/>
      <c r="J355" s="52"/>
      <c r="K355" s="52"/>
      <c r="L355" s="52"/>
      <c r="M355" s="52"/>
      <c r="N355" s="52"/>
      <c r="O355" s="52"/>
      <c r="P355" s="52"/>
      <c r="Q355" s="52"/>
      <c r="R355" s="52"/>
      <c r="S355" s="52"/>
      <c r="T355" s="52"/>
      <c r="U355" s="52"/>
      <c r="V355" s="52"/>
      <c r="W355" s="52"/>
      <c r="X355" s="52"/>
      <c r="Y355" s="52"/>
      <c r="Z355" s="52"/>
    </row>
    <row r="356" spans="1:26" ht="75">
      <c r="A356" s="30" t="s">
        <v>473</v>
      </c>
      <c r="B356" s="38" t="s">
        <v>489</v>
      </c>
      <c r="C356" s="51">
        <v>43972</v>
      </c>
      <c r="D356" s="30" t="s">
        <v>13</v>
      </c>
      <c r="E356" s="30" t="s">
        <v>491</v>
      </c>
      <c r="F356" s="43" t="s">
        <v>492</v>
      </c>
      <c r="G356" s="38" t="s">
        <v>10</v>
      </c>
      <c r="H356" s="52"/>
      <c r="I356" s="52"/>
      <c r="J356" s="52"/>
      <c r="K356" s="52"/>
      <c r="L356" s="52"/>
      <c r="M356" s="52"/>
      <c r="N356" s="52"/>
      <c r="O356" s="52"/>
      <c r="P356" s="52"/>
      <c r="Q356" s="52"/>
      <c r="R356" s="52"/>
      <c r="S356" s="52"/>
      <c r="T356" s="52"/>
      <c r="U356" s="52"/>
      <c r="V356" s="52"/>
      <c r="W356" s="52"/>
      <c r="X356" s="52"/>
      <c r="Y356" s="52"/>
      <c r="Z356" s="52"/>
    </row>
    <row r="357" spans="1:26" ht="30">
      <c r="A357" s="30" t="s">
        <v>473</v>
      </c>
      <c r="B357" s="38" t="s">
        <v>1186</v>
      </c>
      <c r="C357" s="51">
        <v>44036</v>
      </c>
      <c r="D357" s="30" t="s">
        <v>13</v>
      </c>
      <c r="E357" s="30" t="s">
        <v>1187</v>
      </c>
      <c r="F357" s="43" t="s">
        <v>1188</v>
      </c>
      <c r="G357" s="38" t="s">
        <v>10</v>
      </c>
      <c r="H357" s="52"/>
      <c r="I357" s="52"/>
      <c r="J357" s="52"/>
      <c r="K357" s="52"/>
      <c r="L357" s="52"/>
      <c r="M357" s="52"/>
      <c r="N357" s="52"/>
      <c r="O357" s="52"/>
      <c r="P357" s="52"/>
      <c r="Q357" s="52"/>
      <c r="R357" s="52"/>
      <c r="S357" s="52"/>
      <c r="T357" s="52"/>
      <c r="U357" s="52"/>
      <c r="V357" s="52"/>
      <c r="W357" s="52"/>
      <c r="X357" s="52"/>
      <c r="Y357" s="52"/>
      <c r="Z357" s="52"/>
    </row>
    <row r="358" spans="1:26" ht="105">
      <c r="A358" s="30" t="s">
        <v>473</v>
      </c>
      <c r="B358" s="38" t="s">
        <v>493</v>
      </c>
      <c r="C358" s="51">
        <v>43918</v>
      </c>
      <c r="D358" s="30" t="s">
        <v>19</v>
      </c>
      <c r="E358" s="30" t="s">
        <v>494</v>
      </c>
      <c r="F358" s="42" t="str">
        <f>HYPERLINK("https://www.somervillema.gov/evictionmoratorium","Somerville Mayor Curtatone, Board of Health Issue Residential and Commercial Eviction Moratorium")</f>
        <v>Somerville Mayor Curtatone, Board of Health Issue Residential and Commercial Eviction Moratorium</v>
      </c>
      <c r="G358" s="38" t="s">
        <v>10</v>
      </c>
      <c r="H358" s="52"/>
      <c r="I358" s="52"/>
      <c r="J358" s="52"/>
      <c r="K358" s="52"/>
      <c r="L358" s="52"/>
      <c r="M358" s="52"/>
      <c r="N358" s="52"/>
      <c r="O358" s="52"/>
      <c r="P358" s="52"/>
      <c r="Q358" s="52"/>
      <c r="R358" s="52"/>
      <c r="S358" s="52"/>
      <c r="T358" s="52"/>
      <c r="U358" s="52"/>
      <c r="V358" s="52"/>
      <c r="W358" s="52"/>
      <c r="X358" s="52"/>
      <c r="Y358" s="52"/>
      <c r="Z358" s="52"/>
    </row>
    <row r="359" spans="1:26" ht="30">
      <c r="A359" s="30" t="s">
        <v>473</v>
      </c>
      <c r="B359" s="38" t="s">
        <v>493</v>
      </c>
      <c r="C359" s="51">
        <v>43979</v>
      </c>
      <c r="D359" s="30" t="s">
        <v>13</v>
      </c>
      <c r="E359" s="30" t="s">
        <v>495</v>
      </c>
      <c r="F359" s="43" t="s">
        <v>93</v>
      </c>
      <c r="G359" s="38" t="s">
        <v>10</v>
      </c>
      <c r="H359" s="52"/>
      <c r="I359" s="52"/>
      <c r="J359" s="52"/>
      <c r="K359" s="52"/>
      <c r="L359" s="52"/>
      <c r="M359" s="52"/>
      <c r="N359" s="52"/>
      <c r="O359" s="52"/>
      <c r="P359" s="52"/>
      <c r="Q359" s="52"/>
      <c r="R359" s="52"/>
      <c r="S359" s="52"/>
      <c r="T359" s="52"/>
      <c r="U359" s="52"/>
      <c r="V359" s="52"/>
      <c r="W359" s="52"/>
      <c r="X359" s="52"/>
      <c r="Y359" s="52"/>
      <c r="Z359" s="52"/>
    </row>
    <row r="360" spans="1:26" ht="65.25" customHeight="1">
      <c r="A360" s="30" t="s">
        <v>473</v>
      </c>
      <c r="B360" s="38" t="s">
        <v>18</v>
      </c>
      <c r="C360" s="51">
        <v>44027</v>
      </c>
      <c r="D360" s="30" t="s">
        <v>247</v>
      </c>
      <c r="E360" s="30" t="s">
        <v>1257</v>
      </c>
      <c r="F360" s="43" t="s">
        <v>1258</v>
      </c>
      <c r="G360" s="38" t="s">
        <v>17</v>
      </c>
      <c r="H360" s="52"/>
      <c r="I360" s="52"/>
      <c r="J360" s="52"/>
      <c r="K360" s="52"/>
      <c r="L360" s="52"/>
      <c r="M360" s="52"/>
      <c r="N360" s="52"/>
      <c r="O360" s="52"/>
      <c r="P360" s="52"/>
      <c r="Q360" s="52"/>
      <c r="R360" s="52"/>
      <c r="S360" s="52"/>
      <c r="T360" s="52"/>
      <c r="U360" s="52"/>
      <c r="V360" s="52"/>
      <c r="W360" s="52"/>
      <c r="X360" s="52"/>
      <c r="Y360" s="52"/>
      <c r="Z360" s="52"/>
    </row>
    <row r="361" spans="1:26" ht="45">
      <c r="A361" s="30" t="s">
        <v>473</v>
      </c>
      <c r="B361" s="38" t="s">
        <v>18</v>
      </c>
      <c r="C361" s="51">
        <v>43924</v>
      </c>
      <c r="D361" s="30" t="s">
        <v>8</v>
      </c>
      <c r="E361" s="30" t="s">
        <v>496</v>
      </c>
      <c r="F361" s="42" t="str">
        <f>HYPERLINK("https://www.wbur.org/news/2020/04/03/sjc-prisoners-emergency-petition-ruling","Mass. High Court Rules Some Prisoners Will Be Eligible For Release Due To COVID-19")</f>
        <v>Mass. High Court Rules Some Prisoners Will Be Eligible For Release Due To COVID-19</v>
      </c>
      <c r="G361" s="38" t="s">
        <v>10</v>
      </c>
      <c r="H361" s="52"/>
      <c r="I361" s="52"/>
      <c r="J361" s="52"/>
      <c r="K361" s="52"/>
      <c r="L361" s="52"/>
      <c r="M361" s="52"/>
      <c r="N361" s="52"/>
      <c r="O361" s="52"/>
      <c r="P361" s="52"/>
      <c r="Q361" s="52"/>
      <c r="R361" s="52"/>
      <c r="S361" s="52"/>
      <c r="T361" s="52"/>
      <c r="U361" s="52"/>
      <c r="V361" s="52"/>
      <c r="W361" s="52"/>
      <c r="X361" s="52"/>
      <c r="Y361" s="52"/>
      <c r="Z361" s="52"/>
    </row>
    <row r="362" spans="1:26" ht="75">
      <c r="A362" s="30" t="s">
        <v>473</v>
      </c>
      <c r="B362" s="38" t="s">
        <v>18</v>
      </c>
      <c r="C362" s="51">
        <v>43949</v>
      </c>
      <c r="D362" s="30" t="s">
        <v>8</v>
      </c>
      <c r="E362" s="30" t="s">
        <v>497</v>
      </c>
      <c r="F362" s="42" t="str">
        <f>HYPERLINK("https://malegislature.gov/Bills/191/H4652","An Act regarding decarceration and COVID-19")</f>
        <v>An Act regarding decarceration and COVID-19</v>
      </c>
      <c r="G362" s="38" t="s">
        <v>17</v>
      </c>
      <c r="H362" s="52"/>
      <c r="I362" s="52"/>
      <c r="J362" s="52"/>
      <c r="K362" s="52"/>
      <c r="L362" s="52"/>
      <c r="M362" s="52"/>
      <c r="N362" s="52"/>
      <c r="O362" s="52"/>
      <c r="P362" s="52"/>
      <c r="Q362" s="52"/>
      <c r="R362" s="52"/>
      <c r="S362" s="52"/>
      <c r="T362" s="52"/>
      <c r="U362" s="52"/>
      <c r="V362" s="52"/>
      <c r="W362" s="52"/>
      <c r="X362" s="52"/>
      <c r="Y362" s="52"/>
      <c r="Z362" s="52"/>
    </row>
    <row r="363" spans="1:26" ht="75">
      <c r="A363" s="30" t="s">
        <v>473</v>
      </c>
      <c r="B363" s="38" t="s">
        <v>0</v>
      </c>
      <c r="C363" s="51">
        <v>43904</v>
      </c>
      <c r="D363" s="30" t="s">
        <v>19</v>
      </c>
      <c r="E363" s="30" t="s">
        <v>498</v>
      </c>
      <c r="F363" s="43" t="str">
        <f>HYPERLINK("https://www.mass.gov/doc/housing-court-standing-order-2-20-temporary-modifications-to-court-operations-arising-from-the/download","TRIAL COURT OF MASSACHUSETTS HOUSING COURT DEPARTMENT STANDING ORDER 2-20: TEMPORARY MODIFICATIONS TO COURT OPERATIONS ARISING FROM THE CORONAVIRUS (COVID 19) OUTBREAK")</f>
        <v>TRIAL COURT OF MASSACHUSETTS HOUSING COURT DEPARTMENT STANDING ORDER 2-20: TEMPORARY MODIFICATIONS TO COURT OPERATIONS ARISING FROM THE CORONAVIRUS (COVID 19) OUTBREAK</v>
      </c>
      <c r="G363" s="38" t="s">
        <v>10</v>
      </c>
      <c r="H363" s="52"/>
      <c r="I363" s="52"/>
      <c r="J363" s="52"/>
      <c r="K363" s="52"/>
      <c r="L363" s="52"/>
      <c r="M363" s="52"/>
      <c r="N363" s="52"/>
      <c r="O363" s="52"/>
      <c r="P363" s="52"/>
      <c r="Q363" s="52"/>
      <c r="R363" s="52"/>
      <c r="S363" s="52"/>
      <c r="T363" s="52"/>
      <c r="U363" s="52"/>
      <c r="V363" s="52"/>
      <c r="W363" s="52"/>
      <c r="X363" s="52"/>
      <c r="Y363" s="52"/>
      <c r="Z363" s="52"/>
    </row>
    <row r="364" spans="1:26" ht="63.75" customHeight="1">
      <c r="A364" s="30" t="s">
        <v>473</v>
      </c>
      <c r="B364" s="38" t="s">
        <v>0</v>
      </c>
      <c r="C364" s="51">
        <v>43941</v>
      </c>
      <c r="D364" s="30" t="s">
        <v>19</v>
      </c>
      <c r="E364" s="30" t="s">
        <v>499</v>
      </c>
      <c r="F364" s="42" t="str">
        <f>HYPERLINK("https://www.bostonglobe.com/2020/04/20/business/baker-signs-bill-blocking-evictions-during-coronavirus/","Baker signs bill blocking evictions during coronavirus crisis")</f>
        <v>Baker signs bill blocking evictions during coronavirus crisis</v>
      </c>
      <c r="G364" s="38" t="s">
        <v>10</v>
      </c>
      <c r="H364" s="52"/>
      <c r="I364" s="52"/>
      <c r="J364" s="52"/>
      <c r="K364" s="52"/>
      <c r="L364" s="52"/>
      <c r="M364" s="52"/>
      <c r="N364" s="52"/>
      <c r="O364" s="52"/>
      <c r="P364" s="52"/>
      <c r="Q364" s="52"/>
      <c r="R364" s="52"/>
      <c r="S364" s="52"/>
      <c r="T364" s="52"/>
      <c r="U364" s="52"/>
      <c r="V364" s="52"/>
      <c r="W364" s="52"/>
      <c r="X364" s="52"/>
      <c r="Y364" s="52"/>
      <c r="Z364" s="52"/>
    </row>
    <row r="365" spans="1:26" ht="49.5" customHeight="1">
      <c r="A365" s="30" t="s">
        <v>473</v>
      </c>
      <c r="B365" s="38" t="s">
        <v>0</v>
      </c>
      <c r="C365" s="51">
        <v>43934</v>
      </c>
      <c r="D365" s="30" t="s">
        <v>40</v>
      </c>
      <c r="E365" s="30" t="s">
        <v>500</v>
      </c>
      <c r="F365" s="42" t="str">
        <f>HYPERLINK("https://malegislature.gov/Bills/191/H4634","An Act providing emergency access to equity and justice for all in response to COVID-19")</f>
        <v>An Act providing emergency access to equity and justice for all in response to COVID-19</v>
      </c>
      <c r="G365" s="38" t="s">
        <v>17</v>
      </c>
      <c r="H365" s="52"/>
      <c r="I365" s="52"/>
      <c r="J365" s="52"/>
      <c r="K365" s="52"/>
      <c r="L365" s="52"/>
      <c r="M365" s="52"/>
      <c r="N365" s="52"/>
      <c r="O365" s="52"/>
      <c r="P365" s="52"/>
      <c r="Q365" s="52"/>
      <c r="R365" s="52"/>
      <c r="S365" s="52"/>
      <c r="T365" s="52"/>
      <c r="U365" s="52"/>
      <c r="V365" s="52"/>
      <c r="W365" s="52"/>
      <c r="X365" s="52"/>
      <c r="Y365" s="52"/>
      <c r="Z365" s="52"/>
    </row>
    <row r="366" spans="1:26" ht="75">
      <c r="A366" s="30" t="s">
        <v>473</v>
      </c>
      <c r="B366" s="38" t="s">
        <v>0</v>
      </c>
      <c r="C366" s="51">
        <v>43916</v>
      </c>
      <c r="D366" s="30" t="s">
        <v>49</v>
      </c>
      <c r="E366" s="30" t="s">
        <v>501</v>
      </c>
      <c r="F366" s="43" t="str">
        <f>HYPERLINK("https://www.mass.gov/news/massachusetts-dedicates-former-hospital-for-shelter-treatment-of-homeless-individuals","Massachusetts Dedicates Former Hospital for Shelter, Treatment of Homeless Individuals")</f>
        <v>Massachusetts Dedicates Former Hospital for Shelter, Treatment of Homeless Individuals</v>
      </c>
      <c r="G366" s="38" t="s">
        <v>10</v>
      </c>
      <c r="H366" s="52"/>
      <c r="I366" s="52"/>
      <c r="J366" s="52"/>
      <c r="K366" s="52"/>
      <c r="L366" s="52"/>
      <c r="M366" s="52"/>
      <c r="N366" s="52"/>
      <c r="O366" s="52"/>
      <c r="P366" s="52"/>
      <c r="Q366" s="52"/>
      <c r="R366" s="52"/>
      <c r="S366" s="52"/>
      <c r="T366" s="52"/>
      <c r="U366" s="52"/>
      <c r="V366" s="52"/>
      <c r="W366" s="52"/>
      <c r="X366" s="52"/>
      <c r="Y366" s="52"/>
      <c r="Z366" s="52"/>
    </row>
    <row r="367" spans="1:26" ht="45">
      <c r="A367" s="30" t="s">
        <v>473</v>
      </c>
      <c r="B367" s="38" t="s">
        <v>0</v>
      </c>
      <c r="C367" s="51">
        <v>43944</v>
      </c>
      <c r="D367" s="30" t="s">
        <v>49</v>
      </c>
      <c r="E367" s="30" t="s">
        <v>502</v>
      </c>
      <c r="F367" s="42" t="str">
        <f>HYPERLINK("https://malegislature.gov/Bills/191/S2656","An Act providing emergency assistance to gateway cities for temporary homeless shelters")</f>
        <v>An Act providing emergency assistance to gateway cities for temporary homeless shelters</v>
      </c>
      <c r="G367" s="38" t="s">
        <v>17</v>
      </c>
      <c r="H367" s="52"/>
      <c r="I367" s="52"/>
      <c r="J367" s="52"/>
      <c r="K367" s="52"/>
      <c r="L367" s="52"/>
      <c r="M367" s="52"/>
      <c r="N367" s="52"/>
      <c r="O367" s="52"/>
      <c r="P367" s="52"/>
      <c r="Q367" s="52"/>
      <c r="R367" s="52"/>
      <c r="S367" s="52"/>
      <c r="T367" s="52"/>
      <c r="U367" s="52"/>
      <c r="V367" s="52"/>
      <c r="W367" s="52"/>
      <c r="X367" s="52"/>
      <c r="Y367" s="52"/>
      <c r="Z367" s="52"/>
    </row>
    <row r="368" spans="1:26" ht="45">
      <c r="A368" s="30" t="s">
        <v>473</v>
      </c>
      <c r="B368" s="38" t="s">
        <v>0</v>
      </c>
      <c r="C368" s="51">
        <v>43978</v>
      </c>
      <c r="D368" s="30" t="s">
        <v>13</v>
      </c>
      <c r="E368" s="30" t="s">
        <v>1066</v>
      </c>
      <c r="F368" s="43" t="s">
        <v>1067</v>
      </c>
      <c r="G368" s="38" t="s">
        <v>10</v>
      </c>
      <c r="H368" s="52"/>
      <c r="I368" s="52"/>
      <c r="J368" s="52"/>
      <c r="K368" s="52"/>
      <c r="L368" s="52"/>
      <c r="M368" s="52"/>
      <c r="N368" s="52"/>
      <c r="O368" s="52"/>
      <c r="P368" s="52"/>
      <c r="Q368" s="52"/>
      <c r="R368" s="52"/>
      <c r="S368" s="52"/>
      <c r="T368" s="52"/>
      <c r="U368" s="52"/>
      <c r="V368" s="52"/>
      <c r="W368" s="52"/>
      <c r="X368" s="52"/>
      <c r="Y368" s="52"/>
      <c r="Z368" s="52"/>
    </row>
    <row r="369" spans="1:26" ht="166.5" customHeight="1">
      <c r="A369" s="30" t="s">
        <v>473</v>
      </c>
      <c r="B369" s="38" t="s">
        <v>0</v>
      </c>
      <c r="C369" s="51">
        <v>44013</v>
      </c>
      <c r="D369" s="30" t="s">
        <v>13</v>
      </c>
      <c r="E369" s="30" t="s">
        <v>1412</v>
      </c>
      <c r="F369" s="43" t="s">
        <v>1179</v>
      </c>
      <c r="G369" s="38" t="s">
        <v>10</v>
      </c>
      <c r="H369" s="52"/>
      <c r="I369" s="52"/>
      <c r="J369" s="52"/>
      <c r="K369" s="52"/>
      <c r="L369" s="52"/>
      <c r="M369" s="52"/>
      <c r="N369" s="52"/>
      <c r="O369" s="52"/>
      <c r="P369" s="52"/>
      <c r="Q369" s="52"/>
      <c r="R369" s="52"/>
      <c r="S369" s="52"/>
      <c r="T369" s="52"/>
      <c r="U369" s="52"/>
      <c r="V369" s="52"/>
      <c r="W369" s="52"/>
      <c r="X369" s="52"/>
      <c r="Y369" s="52"/>
      <c r="Z369" s="52"/>
    </row>
    <row r="370" spans="1:26" ht="60">
      <c r="A370" s="30" t="s">
        <v>473</v>
      </c>
      <c r="B370" s="38" t="s">
        <v>0</v>
      </c>
      <c r="C370" s="51">
        <v>43993</v>
      </c>
      <c r="D370" s="30" t="s">
        <v>8</v>
      </c>
      <c r="E370" s="30" t="s">
        <v>1240</v>
      </c>
      <c r="F370" s="43" t="s">
        <v>1241</v>
      </c>
      <c r="G370" s="38" t="s">
        <v>17</v>
      </c>
      <c r="H370" s="52"/>
      <c r="I370" s="52"/>
      <c r="J370" s="52"/>
      <c r="K370" s="52"/>
      <c r="L370" s="52"/>
      <c r="M370" s="52"/>
      <c r="N370" s="52"/>
      <c r="O370" s="52"/>
      <c r="P370" s="52"/>
      <c r="Q370" s="52"/>
      <c r="R370" s="52"/>
      <c r="S370" s="52"/>
      <c r="T370" s="52"/>
      <c r="U370" s="52"/>
      <c r="V370" s="52"/>
      <c r="W370" s="52"/>
      <c r="X370" s="52"/>
      <c r="Y370" s="52"/>
      <c r="Z370" s="52"/>
    </row>
    <row r="371" spans="1:26">
      <c r="A371" s="30" t="s">
        <v>473</v>
      </c>
      <c r="B371" s="38" t="s">
        <v>0</v>
      </c>
      <c r="C371" s="51">
        <v>43962</v>
      </c>
      <c r="D371" s="30" t="s">
        <v>154</v>
      </c>
      <c r="E371" s="30" t="s">
        <v>970</v>
      </c>
      <c r="F371" s="43" t="s">
        <v>971</v>
      </c>
      <c r="G371" s="38" t="s">
        <v>10</v>
      </c>
      <c r="H371" s="52"/>
      <c r="I371" s="52"/>
      <c r="J371" s="52"/>
      <c r="K371" s="52"/>
      <c r="L371" s="52"/>
      <c r="M371" s="52"/>
      <c r="N371" s="52"/>
      <c r="O371" s="52"/>
      <c r="P371" s="52"/>
      <c r="Q371" s="52"/>
      <c r="R371" s="52"/>
      <c r="S371" s="52"/>
      <c r="T371" s="52"/>
      <c r="U371" s="52"/>
      <c r="V371" s="52"/>
      <c r="W371" s="52"/>
      <c r="X371" s="52"/>
      <c r="Y371" s="52"/>
      <c r="Z371" s="52"/>
    </row>
    <row r="372" spans="1:26" ht="45">
      <c r="A372" s="30" t="s">
        <v>473</v>
      </c>
      <c r="B372" s="38" t="s">
        <v>0</v>
      </c>
      <c r="C372" s="51">
        <v>43962</v>
      </c>
      <c r="D372" s="30" t="s">
        <v>154</v>
      </c>
      <c r="E372" s="30" t="s">
        <v>503</v>
      </c>
      <c r="F372" s="42" t="str">
        <f>HYPERLINK("https://malegislature.gov/Bills/191/H4672","An Act addressing COVID-19 data collection and disparities in treatment")</f>
        <v>An Act addressing COVID-19 data collection and disparities in treatment</v>
      </c>
      <c r="G372" s="38" t="s">
        <v>10</v>
      </c>
      <c r="H372" s="52"/>
      <c r="I372" s="52"/>
      <c r="J372" s="52"/>
      <c r="K372" s="52"/>
      <c r="L372" s="52"/>
      <c r="M372" s="52"/>
      <c r="N372" s="52"/>
      <c r="O372" s="52"/>
      <c r="P372" s="52"/>
      <c r="Q372" s="52"/>
      <c r="R372" s="52"/>
      <c r="S372" s="52"/>
      <c r="T372" s="52"/>
      <c r="U372" s="52"/>
      <c r="V372" s="52"/>
      <c r="W372" s="52"/>
      <c r="X372" s="52"/>
      <c r="Y372" s="52"/>
      <c r="Z372" s="52"/>
    </row>
    <row r="373" spans="1:26" ht="75">
      <c r="A373" s="30" t="s">
        <v>473</v>
      </c>
      <c r="B373" s="38" t="s">
        <v>0</v>
      </c>
      <c r="C373" s="51">
        <v>44035</v>
      </c>
      <c r="D373" s="30" t="s">
        <v>154</v>
      </c>
      <c r="E373" s="30" t="s">
        <v>1122</v>
      </c>
      <c r="F373" s="43" t="s">
        <v>1123</v>
      </c>
      <c r="G373" s="38" t="s">
        <v>1124</v>
      </c>
      <c r="H373" s="52"/>
      <c r="I373" s="52"/>
      <c r="J373" s="52"/>
      <c r="K373" s="52"/>
      <c r="L373" s="52"/>
      <c r="M373" s="52"/>
      <c r="N373" s="52"/>
      <c r="O373" s="52"/>
      <c r="P373" s="52"/>
      <c r="Q373" s="52"/>
      <c r="R373" s="52"/>
      <c r="S373" s="52"/>
      <c r="T373" s="52"/>
      <c r="U373" s="52"/>
      <c r="V373" s="52"/>
      <c r="W373" s="52"/>
      <c r="X373" s="52"/>
      <c r="Y373" s="52"/>
      <c r="Z373" s="52"/>
    </row>
    <row r="374" spans="1:26" ht="60">
      <c r="A374" s="30" t="s">
        <v>473</v>
      </c>
      <c r="B374" s="38" t="s">
        <v>504</v>
      </c>
      <c r="C374" s="51">
        <v>43942</v>
      </c>
      <c r="D374" s="30" t="s">
        <v>13</v>
      </c>
      <c r="E374" s="30" t="s">
        <v>505</v>
      </c>
      <c r="F374" s="43" t="s">
        <v>506</v>
      </c>
      <c r="G374" s="38" t="s">
        <v>10</v>
      </c>
      <c r="H374" s="52"/>
      <c r="I374" s="52"/>
      <c r="J374" s="52"/>
      <c r="K374" s="52"/>
      <c r="L374" s="52"/>
      <c r="M374" s="52"/>
      <c r="N374" s="52"/>
      <c r="O374" s="52"/>
      <c r="P374" s="52"/>
      <c r="Q374" s="52"/>
      <c r="R374" s="52"/>
      <c r="S374" s="52"/>
      <c r="T374" s="52"/>
      <c r="U374" s="52"/>
      <c r="V374" s="52"/>
      <c r="W374" s="52"/>
      <c r="X374" s="52"/>
      <c r="Y374" s="52"/>
      <c r="Z374" s="52"/>
    </row>
    <row r="375" spans="1:26" ht="30">
      <c r="A375" s="30" t="s">
        <v>473</v>
      </c>
      <c r="B375" s="38" t="s">
        <v>507</v>
      </c>
      <c r="C375" s="51">
        <v>43914</v>
      </c>
      <c r="D375" s="30" t="s">
        <v>19</v>
      </c>
      <c r="E375" s="30" t="s">
        <v>508</v>
      </c>
      <c r="F375" s="42" t="str">
        <f>HYPERLINK("https://s3.amazonaws.com/fn-document-service/file-by-sha384/dd8a59fc425e7a7b31af15bc672bbb328518ca899e216c845f3f8418d00a812f4af1d122c30e1dce58bec28df425d485#page=","City Council Agenda")</f>
        <v>City Council Agenda</v>
      </c>
      <c r="G375" s="38" t="s">
        <v>10</v>
      </c>
      <c r="H375" s="52"/>
      <c r="I375" s="52"/>
      <c r="J375" s="52"/>
      <c r="K375" s="52"/>
      <c r="L375" s="52"/>
      <c r="M375" s="52"/>
      <c r="N375" s="52"/>
      <c r="O375" s="52"/>
      <c r="P375" s="52"/>
      <c r="Q375" s="52"/>
      <c r="R375" s="52"/>
      <c r="S375" s="52"/>
      <c r="T375" s="52"/>
      <c r="U375" s="52"/>
      <c r="V375" s="52"/>
      <c r="W375" s="52"/>
      <c r="X375" s="52"/>
      <c r="Y375" s="52"/>
      <c r="Z375" s="52"/>
    </row>
    <row r="376" spans="1:26" ht="45">
      <c r="A376" s="30" t="s">
        <v>509</v>
      </c>
      <c r="B376" s="38" t="s">
        <v>510</v>
      </c>
      <c r="C376" s="51">
        <v>43928</v>
      </c>
      <c r="D376" s="51" t="s">
        <v>13</v>
      </c>
      <c r="E376" s="30" t="s">
        <v>511</v>
      </c>
      <c r="F376" s="43" t="s">
        <v>512</v>
      </c>
      <c r="G376" s="38" t="s">
        <v>10</v>
      </c>
      <c r="H376" s="52"/>
      <c r="I376" s="52"/>
      <c r="J376" s="52"/>
      <c r="K376" s="52"/>
      <c r="L376" s="52"/>
      <c r="M376" s="52"/>
      <c r="N376" s="52"/>
      <c r="O376" s="52"/>
      <c r="P376" s="52"/>
      <c r="Q376" s="52"/>
      <c r="R376" s="52"/>
      <c r="S376" s="52"/>
      <c r="T376" s="52"/>
      <c r="U376" s="52"/>
      <c r="V376" s="52"/>
      <c r="W376" s="52"/>
      <c r="X376" s="52"/>
      <c r="Y376" s="52"/>
      <c r="Z376" s="52"/>
    </row>
    <row r="377" spans="1:26" ht="45" customHeight="1">
      <c r="A377" s="30" t="s">
        <v>509</v>
      </c>
      <c r="B377" s="38" t="s">
        <v>513</v>
      </c>
      <c r="C377" s="51">
        <v>43915</v>
      </c>
      <c r="D377" s="30" t="s">
        <v>8</v>
      </c>
      <c r="E377" s="30" t="s">
        <v>514</v>
      </c>
      <c r="F377" s="42" t="str">
        <f>HYPERLINK("https://www.clickondetroit.com/news/2020/03/26/county-jails-in-metro-detroit-begin-releasing-some-inmates-in-attempt-to-slow-coronavirus-covid-19-spread/","County jails in Metro Detroit begin releasing some inmates in attempt to slow coronavirus (COVID-19) spread")</f>
        <v>County jails in Metro Detroit begin releasing some inmates in attempt to slow coronavirus (COVID-19) spread</v>
      </c>
      <c r="G377" s="38" t="s">
        <v>10</v>
      </c>
      <c r="H377" s="52"/>
      <c r="I377" s="52"/>
      <c r="J377" s="52"/>
      <c r="K377" s="52"/>
      <c r="L377" s="52"/>
      <c r="M377" s="52"/>
      <c r="N377" s="52"/>
      <c r="O377" s="52"/>
      <c r="P377" s="52"/>
      <c r="Q377" s="52"/>
      <c r="R377" s="52"/>
      <c r="S377" s="52"/>
      <c r="T377" s="52"/>
      <c r="U377" s="52"/>
      <c r="V377" s="52"/>
      <c r="W377" s="52"/>
      <c r="X377" s="52"/>
      <c r="Y377" s="52"/>
      <c r="Z377" s="52"/>
    </row>
    <row r="378" spans="1:26" ht="45">
      <c r="A378" s="30" t="s">
        <v>509</v>
      </c>
      <c r="B378" s="38" t="s">
        <v>1034</v>
      </c>
      <c r="C378" s="51">
        <v>43963</v>
      </c>
      <c r="D378" s="30" t="s">
        <v>49</v>
      </c>
      <c r="E378" s="30" t="s">
        <v>1035</v>
      </c>
      <c r="F378" s="43" t="s">
        <v>1036</v>
      </c>
      <c r="G378" s="38" t="s">
        <v>10</v>
      </c>
      <c r="H378" s="52"/>
      <c r="I378" s="52"/>
      <c r="J378" s="52"/>
      <c r="K378" s="52"/>
      <c r="L378" s="52"/>
      <c r="M378" s="52"/>
      <c r="N378" s="52"/>
      <c r="O378" s="52"/>
      <c r="P378" s="52"/>
      <c r="Q378" s="52"/>
      <c r="R378" s="52"/>
      <c r="S378" s="52"/>
      <c r="T378" s="52"/>
      <c r="U378" s="52"/>
      <c r="V378" s="52"/>
      <c r="W378" s="52"/>
      <c r="X378" s="52"/>
      <c r="Y378" s="52"/>
      <c r="Z378" s="52"/>
    </row>
    <row r="379" spans="1:26" ht="45">
      <c r="A379" s="30" t="s">
        <v>509</v>
      </c>
      <c r="B379" s="38" t="s">
        <v>18</v>
      </c>
      <c r="C379" s="51">
        <v>43910</v>
      </c>
      <c r="D379" s="30" t="s">
        <v>19</v>
      </c>
      <c r="E379" s="30" t="s">
        <v>515</v>
      </c>
      <c r="F379" s="42" t="str">
        <f>HYPERLINK("https://www.michigan.gov/whitmer/0,9309,7-387-90487-522510--,00.html","Governor Whitmer Signs Executive Order Temporarily Suspending Evictions")</f>
        <v>Governor Whitmer Signs Executive Order Temporarily Suspending Evictions</v>
      </c>
      <c r="G379" s="38" t="s">
        <v>10</v>
      </c>
      <c r="H379" s="52"/>
      <c r="I379" s="52"/>
      <c r="J379" s="52"/>
      <c r="K379" s="52"/>
      <c r="L379" s="52"/>
      <c r="M379" s="52"/>
      <c r="N379" s="52"/>
      <c r="O379" s="52"/>
      <c r="P379" s="52"/>
      <c r="Q379" s="52"/>
      <c r="R379" s="52"/>
      <c r="S379" s="52"/>
      <c r="T379" s="52"/>
      <c r="U379" s="52"/>
      <c r="V379" s="52"/>
      <c r="W379" s="52"/>
      <c r="X379" s="52"/>
      <c r="Y379" s="52"/>
      <c r="Z379" s="52"/>
    </row>
    <row r="380" spans="1:26" ht="60">
      <c r="A380" s="30" t="s">
        <v>509</v>
      </c>
      <c r="B380" s="38" t="s">
        <v>18</v>
      </c>
      <c r="C380" s="51">
        <v>44008</v>
      </c>
      <c r="D380" s="30" t="s">
        <v>19</v>
      </c>
      <c r="E380" s="30" t="s">
        <v>1061</v>
      </c>
      <c r="F380" s="43" t="s">
        <v>1060</v>
      </c>
      <c r="G380" s="38" t="s">
        <v>10</v>
      </c>
      <c r="H380" s="52"/>
      <c r="I380" s="52"/>
      <c r="J380" s="52"/>
      <c r="K380" s="52"/>
      <c r="L380" s="52"/>
      <c r="M380" s="52"/>
      <c r="N380" s="52"/>
      <c r="O380" s="52"/>
      <c r="P380" s="52"/>
      <c r="Q380" s="52"/>
      <c r="R380" s="52"/>
      <c r="S380" s="52"/>
      <c r="T380" s="52"/>
      <c r="U380" s="52"/>
      <c r="V380" s="52"/>
      <c r="W380" s="52"/>
      <c r="X380" s="52"/>
      <c r="Y380" s="52"/>
      <c r="Z380" s="52"/>
    </row>
    <row r="381" spans="1:26" ht="60">
      <c r="A381" s="30" t="s">
        <v>509</v>
      </c>
      <c r="B381" s="38" t="s">
        <v>18</v>
      </c>
      <c r="C381" s="51">
        <v>44025</v>
      </c>
      <c r="D381" s="30" t="s">
        <v>13</v>
      </c>
      <c r="E381" s="30" t="s">
        <v>1190</v>
      </c>
      <c r="F381" s="43" t="s">
        <v>1189</v>
      </c>
      <c r="G381" s="38" t="s">
        <v>10</v>
      </c>
      <c r="H381" s="52"/>
      <c r="I381" s="52"/>
      <c r="J381" s="52"/>
      <c r="K381" s="52"/>
      <c r="L381" s="52"/>
      <c r="M381" s="52"/>
      <c r="N381" s="52"/>
      <c r="O381" s="52"/>
      <c r="P381" s="52"/>
      <c r="Q381" s="52"/>
      <c r="R381" s="52"/>
      <c r="S381" s="52"/>
      <c r="T381" s="52"/>
      <c r="U381" s="52"/>
      <c r="V381" s="52"/>
      <c r="W381" s="52"/>
      <c r="X381" s="52"/>
      <c r="Y381" s="52"/>
      <c r="Z381" s="52"/>
    </row>
    <row r="382" spans="1:26" ht="75">
      <c r="A382" s="30" t="s">
        <v>509</v>
      </c>
      <c r="B382" s="38" t="s">
        <v>18</v>
      </c>
      <c r="C382" s="51">
        <v>43919</v>
      </c>
      <c r="D382" s="30" t="s">
        <v>8</v>
      </c>
      <c r="E382" s="30" t="s">
        <v>1339</v>
      </c>
      <c r="F382" s="43" t="s">
        <v>516</v>
      </c>
      <c r="G382" s="38" t="s">
        <v>10</v>
      </c>
      <c r="H382" s="52"/>
      <c r="I382" s="52"/>
      <c r="J382" s="52"/>
      <c r="K382" s="52"/>
      <c r="L382" s="52"/>
      <c r="M382" s="52"/>
      <c r="N382" s="52"/>
      <c r="O382" s="52"/>
      <c r="P382" s="52"/>
      <c r="Q382" s="52"/>
      <c r="R382" s="52"/>
      <c r="S382" s="52"/>
      <c r="T382" s="52"/>
      <c r="U382" s="52"/>
      <c r="V382" s="52"/>
      <c r="W382" s="52"/>
      <c r="X382" s="52"/>
      <c r="Y382" s="52"/>
      <c r="Z382" s="52"/>
    </row>
    <row r="383" spans="1:26" ht="135" customHeight="1">
      <c r="A383" s="30" t="s">
        <v>509</v>
      </c>
      <c r="B383" s="38" t="s">
        <v>18</v>
      </c>
      <c r="C383" s="51">
        <v>43941</v>
      </c>
      <c r="D383" s="30" t="s">
        <v>154</v>
      </c>
      <c r="E383" s="30" t="s">
        <v>517</v>
      </c>
      <c r="F383" s="43" t="s">
        <v>518</v>
      </c>
      <c r="G383" s="38" t="s">
        <v>10</v>
      </c>
      <c r="H383" s="52"/>
      <c r="I383" s="52"/>
      <c r="J383" s="52"/>
      <c r="K383" s="52"/>
      <c r="L383" s="52"/>
      <c r="M383" s="52"/>
      <c r="N383" s="52"/>
      <c r="O383" s="52"/>
      <c r="P383" s="52"/>
      <c r="Q383" s="52"/>
      <c r="R383" s="52"/>
      <c r="S383" s="52"/>
      <c r="T383" s="52"/>
      <c r="U383" s="52"/>
      <c r="V383" s="52"/>
      <c r="W383" s="52"/>
      <c r="X383" s="52"/>
      <c r="Y383" s="52"/>
      <c r="Z383" s="52"/>
    </row>
    <row r="384" spans="1:26" ht="31.5" customHeight="1">
      <c r="A384" s="30" t="s">
        <v>509</v>
      </c>
      <c r="B384" s="38" t="s">
        <v>18</v>
      </c>
      <c r="C384" s="51">
        <v>43986</v>
      </c>
      <c r="D384" s="30" t="s">
        <v>154</v>
      </c>
      <c r="E384" s="30" t="s">
        <v>1244</v>
      </c>
      <c r="F384" s="43" t="s">
        <v>1245</v>
      </c>
      <c r="G384" s="38" t="s">
        <v>10</v>
      </c>
      <c r="H384" s="52"/>
      <c r="I384" s="52"/>
      <c r="J384" s="52"/>
      <c r="K384" s="52"/>
      <c r="L384" s="52"/>
      <c r="M384" s="52"/>
      <c r="N384" s="52"/>
      <c r="O384" s="52"/>
      <c r="P384" s="52"/>
      <c r="Q384" s="52"/>
      <c r="R384" s="52"/>
      <c r="S384" s="52"/>
      <c r="T384" s="52"/>
      <c r="U384" s="52"/>
      <c r="V384" s="52"/>
      <c r="W384" s="52"/>
      <c r="X384" s="52"/>
      <c r="Y384" s="52"/>
      <c r="Z384" s="52"/>
    </row>
    <row r="385" spans="1:26" ht="48" customHeight="1">
      <c r="A385" s="30" t="s">
        <v>509</v>
      </c>
      <c r="B385" s="38" t="s">
        <v>18</v>
      </c>
      <c r="C385" s="51">
        <v>44007</v>
      </c>
      <c r="D385" s="30" t="s">
        <v>154</v>
      </c>
      <c r="E385" s="30" t="s">
        <v>1234</v>
      </c>
      <c r="F385" s="43" t="s">
        <v>1235</v>
      </c>
      <c r="G385" s="38" t="s">
        <v>1124</v>
      </c>
      <c r="H385" s="52"/>
      <c r="I385" s="52"/>
      <c r="J385" s="52"/>
      <c r="K385" s="52"/>
      <c r="L385" s="52"/>
      <c r="M385" s="52"/>
      <c r="N385" s="52"/>
      <c r="O385" s="52"/>
      <c r="P385" s="52"/>
      <c r="Q385" s="52"/>
      <c r="R385" s="52"/>
      <c r="S385" s="52"/>
      <c r="T385" s="52"/>
      <c r="U385" s="52"/>
      <c r="V385" s="52"/>
      <c r="W385" s="52"/>
      <c r="X385" s="52"/>
      <c r="Y385" s="52"/>
      <c r="Z385" s="52"/>
    </row>
    <row r="386" spans="1:26" ht="62.25" customHeight="1">
      <c r="A386" s="30" t="s">
        <v>509</v>
      </c>
      <c r="B386" s="38" t="s">
        <v>18</v>
      </c>
      <c r="C386" s="51">
        <v>44029</v>
      </c>
      <c r="D386" s="30" t="s">
        <v>154</v>
      </c>
      <c r="E386" s="30" t="s">
        <v>1110</v>
      </c>
      <c r="F386" s="43" t="s">
        <v>1111</v>
      </c>
      <c r="G386" s="38" t="s">
        <v>10</v>
      </c>
      <c r="H386" s="52"/>
      <c r="I386" s="52"/>
      <c r="J386" s="52"/>
      <c r="K386" s="52"/>
      <c r="L386" s="52"/>
      <c r="M386" s="52"/>
      <c r="N386" s="52"/>
      <c r="O386" s="52"/>
      <c r="P386" s="52"/>
      <c r="Q386" s="52"/>
      <c r="R386" s="52"/>
      <c r="S386" s="52"/>
      <c r="T386" s="52"/>
      <c r="U386" s="52"/>
      <c r="V386" s="52"/>
      <c r="W386" s="52"/>
      <c r="X386" s="52"/>
      <c r="Y386" s="52"/>
      <c r="Z386" s="52"/>
    </row>
    <row r="387" spans="1:26" ht="30">
      <c r="A387" s="30" t="s">
        <v>519</v>
      </c>
      <c r="B387" s="38" t="s">
        <v>520</v>
      </c>
      <c r="C387" s="51">
        <v>43928</v>
      </c>
      <c r="D387" s="30" t="s">
        <v>19</v>
      </c>
      <c r="E387" s="30" t="s">
        <v>521</v>
      </c>
      <c r="F387" s="42" t="str">
        <f>HYPERLINK("https://s3.amazonaws.com/fn-document-service/file-by-sha384/4b670e2c0cf71a10b6cd800a7a00e538313a715cab0e09026dc7724dc65018a53aa169d009a2e16eb209fa57c85d50ce#page=3","City Council Meeting Agenda")</f>
        <v>City Council Meeting Agenda</v>
      </c>
      <c r="G387" s="38" t="s">
        <v>10</v>
      </c>
      <c r="H387" s="52"/>
      <c r="I387" s="52"/>
      <c r="J387" s="52"/>
      <c r="K387" s="52"/>
      <c r="L387" s="52"/>
      <c r="M387" s="52"/>
      <c r="N387" s="52"/>
      <c r="O387" s="52"/>
      <c r="P387" s="52"/>
      <c r="Q387" s="52"/>
      <c r="R387" s="52"/>
      <c r="S387" s="52"/>
      <c r="T387" s="52"/>
      <c r="U387" s="52"/>
      <c r="V387" s="52"/>
      <c r="W387" s="52"/>
      <c r="X387" s="52"/>
      <c r="Y387" s="52"/>
      <c r="Z387" s="52"/>
    </row>
    <row r="388" spans="1:26" ht="48" customHeight="1">
      <c r="A388" s="30" t="s">
        <v>519</v>
      </c>
      <c r="B388" s="38" t="s">
        <v>522</v>
      </c>
      <c r="C388" s="51">
        <v>43909</v>
      </c>
      <c r="D388" s="30" t="s">
        <v>49</v>
      </c>
      <c r="E388" s="30" t="s">
        <v>523</v>
      </c>
      <c r="F388" s="42" t="str">
        <f>HYPERLINK("http://www.startribune.com/in-the-wake-of-covid-19-homeless-face-closed-doors-during-the-day-dangerously-crowded-shelters-at-night/568916332/?refresh=true","In the wake of COVID-19, homeless face closed doors during the day, dangerously crowded shelters at night")</f>
        <v>In the wake of COVID-19, homeless face closed doors during the day, dangerously crowded shelters at night</v>
      </c>
      <c r="G388" s="38" t="s">
        <v>10</v>
      </c>
      <c r="H388" s="52"/>
      <c r="I388" s="52"/>
      <c r="J388" s="52"/>
      <c r="K388" s="52"/>
      <c r="L388" s="52"/>
      <c r="M388" s="52"/>
      <c r="N388" s="52"/>
      <c r="O388" s="52"/>
      <c r="P388" s="52"/>
      <c r="Q388" s="52"/>
      <c r="R388" s="52"/>
      <c r="S388" s="52"/>
      <c r="T388" s="52"/>
      <c r="U388" s="52"/>
      <c r="V388" s="52"/>
      <c r="W388" s="52"/>
      <c r="X388" s="52"/>
      <c r="Y388" s="52"/>
      <c r="Z388" s="52"/>
    </row>
    <row r="389" spans="1:26" ht="135">
      <c r="A389" s="30" t="s">
        <v>519</v>
      </c>
      <c r="B389" s="38" t="s">
        <v>524</v>
      </c>
      <c r="C389" s="51">
        <v>43924</v>
      </c>
      <c r="D389" s="30" t="s">
        <v>13</v>
      </c>
      <c r="E389" s="30" t="s">
        <v>525</v>
      </c>
      <c r="F389" s="43" t="s">
        <v>526</v>
      </c>
      <c r="G389" s="38" t="s">
        <v>10</v>
      </c>
      <c r="H389" s="52"/>
      <c r="I389" s="52"/>
      <c r="J389" s="52"/>
      <c r="K389" s="52"/>
      <c r="L389" s="52"/>
      <c r="M389" s="52"/>
      <c r="N389" s="52"/>
      <c r="O389" s="52"/>
      <c r="P389" s="52"/>
      <c r="Q389" s="52"/>
      <c r="R389" s="52"/>
      <c r="S389" s="52"/>
      <c r="T389" s="52"/>
      <c r="U389" s="52"/>
      <c r="V389" s="52"/>
      <c r="W389" s="52"/>
      <c r="X389" s="52"/>
      <c r="Y389" s="52"/>
      <c r="Z389" s="52"/>
    </row>
    <row r="390" spans="1:26" ht="30">
      <c r="A390" s="30" t="s">
        <v>519</v>
      </c>
      <c r="B390" s="38" t="s">
        <v>527</v>
      </c>
      <c r="C390" s="51">
        <v>43949</v>
      </c>
      <c r="D390" s="30" t="s">
        <v>13</v>
      </c>
      <c r="E390" s="30" t="s">
        <v>528</v>
      </c>
      <c r="F390" s="43" t="s">
        <v>529</v>
      </c>
      <c r="G390" s="38" t="s">
        <v>10</v>
      </c>
      <c r="H390" s="52"/>
      <c r="I390" s="52"/>
      <c r="J390" s="52"/>
      <c r="K390" s="52"/>
      <c r="L390" s="52"/>
      <c r="M390" s="52"/>
      <c r="N390" s="52"/>
      <c r="O390" s="52"/>
      <c r="P390" s="52"/>
      <c r="Q390" s="52"/>
      <c r="R390" s="52"/>
      <c r="S390" s="52"/>
      <c r="T390" s="52"/>
      <c r="U390" s="52"/>
      <c r="V390" s="52"/>
      <c r="W390" s="52"/>
      <c r="X390" s="52"/>
      <c r="Y390" s="52"/>
      <c r="Z390" s="52"/>
    </row>
    <row r="391" spans="1:26" ht="45">
      <c r="A391" s="30" t="s">
        <v>519</v>
      </c>
      <c r="B391" s="38" t="s">
        <v>530</v>
      </c>
      <c r="C391" s="51">
        <v>43955</v>
      </c>
      <c r="D391" s="30" t="s">
        <v>13</v>
      </c>
      <c r="E391" s="30" t="s">
        <v>531</v>
      </c>
      <c r="F391" s="43" t="s">
        <v>532</v>
      </c>
      <c r="G391" s="38" t="s">
        <v>10</v>
      </c>
      <c r="H391" s="52"/>
      <c r="I391" s="52"/>
      <c r="J391" s="52"/>
      <c r="K391" s="52"/>
      <c r="L391" s="52"/>
      <c r="M391" s="52"/>
      <c r="N391" s="52"/>
      <c r="O391" s="52"/>
      <c r="P391" s="52"/>
      <c r="Q391" s="52"/>
      <c r="R391" s="52"/>
      <c r="S391" s="52"/>
      <c r="T391" s="52"/>
      <c r="U391" s="52"/>
      <c r="V391" s="52"/>
      <c r="W391" s="52"/>
      <c r="X391" s="52"/>
      <c r="Y391" s="52"/>
      <c r="Z391" s="52"/>
    </row>
    <row r="392" spans="1:26" ht="45">
      <c r="A392" s="30" t="s">
        <v>519</v>
      </c>
      <c r="B392" s="38" t="s">
        <v>1442</v>
      </c>
      <c r="C392" s="51">
        <v>44147</v>
      </c>
      <c r="D392" s="30" t="s">
        <v>13</v>
      </c>
      <c r="E392" s="30" t="s">
        <v>1443</v>
      </c>
      <c r="F392" s="43" t="s">
        <v>1444</v>
      </c>
      <c r="G392" s="38" t="s">
        <v>10</v>
      </c>
      <c r="H392" s="52"/>
      <c r="I392" s="52"/>
      <c r="J392" s="52"/>
      <c r="K392" s="52"/>
      <c r="L392" s="52"/>
      <c r="M392" s="52"/>
      <c r="N392" s="52"/>
      <c r="O392" s="52"/>
      <c r="P392" s="52"/>
      <c r="Q392" s="52"/>
      <c r="R392" s="52"/>
      <c r="S392" s="52"/>
      <c r="T392" s="52"/>
      <c r="U392" s="52"/>
      <c r="V392" s="52"/>
      <c r="W392" s="52"/>
      <c r="X392" s="52"/>
      <c r="Y392" s="52"/>
      <c r="Z392" s="52"/>
    </row>
    <row r="393" spans="1:26" ht="45">
      <c r="A393" s="30" t="s">
        <v>519</v>
      </c>
      <c r="B393" s="38" t="s">
        <v>533</v>
      </c>
      <c r="C393" s="51">
        <v>43956</v>
      </c>
      <c r="D393" s="30" t="s">
        <v>13</v>
      </c>
      <c r="E393" s="30" t="s">
        <v>534</v>
      </c>
      <c r="F393" s="43" t="s">
        <v>535</v>
      </c>
      <c r="G393" s="38" t="s">
        <v>10</v>
      </c>
      <c r="H393" s="52"/>
      <c r="I393" s="52"/>
      <c r="J393" s="52"/>
      <c r="K393" s="52"/>
      <c r="L393" s="52"/>
      <c r="M393" s="52"/>
      <c r="N393" s="52"/>
      <c r="O393" s="52"/>
      <c r="P393" s="52"/>
      <c r="Q393" s="52"/>
      <c r="R393" s="52"/>
      <c r="S393" s="52"/>
      <c r="T393" s="52"/>
      <c r="U393" s="52"/>
      <c r="V393" s="52"/>
      <c r="W393" s="52"/>
      <c r="X393" s="52"/>
      <c r="Y393" s="52"/>
      <c r="Z393" s="52"/>
    </row>
    <row r="394" spans="1:26" ht="90" customHeight="1">
      <c r="A394" s="30" t="s">
        <v>519</v>
      </c>
      <c r="B394" s="38" t="s">
        <v>18</v>
      </c>
      <c r="C394" s="51">
        <v>43915</v>
      </c>
      <c r="D394" s="30" t="s">
        <v>243</v>
      </c>
      <c r="E394" s="39" t="s">
        <v>536</v>
      </c>
      <c r="F394" s="42" t="str">
        <f>HYPERLINK("https://www.leg.state.mn.us/archive/execorders/20-20.pdf","Governor Waltz Enacts EO 20-20 (Stay at home); excludes essential construction work related to public works and upkeep of necessary housing")</f>
        <v>Governor Waltz Enacts EO 20-20 (Stay at home); excludes essential construction work related to public works and upkeep of necessary housing</v>
      </c>
      <c r="G394" s="38" t="s">
        <v>10</v>
      </c>
      <c r="H394" s="52"/>
      <c r="I394" s="52"/>
      <c r="J394" s="52"/>
      <c r="K394" s="52"/>
      <c r="L394" s="52"/>
      <c r="M394" s="52"/>
      <c r="N394" s="52"/>
      <c r="O394" s="52"/>
      <c r="P394" s="52"/>
      <c r="Q394" s="52"/>
      <c r="R394" s="52"/>
      <c r="S394" s="52"/>
      <c r="T394" s="52"/>
      <c r="U394" s="52"/>
      <c r="V394" s="52"/>
      <c r="W394" s="52"/>
      <c r="X394" s="52"/>
      <c r="Y394" s="52"/>
      <c r="Z394" s="52"/>
    </row>
    <row r="395" spans="1:26" ht="90">
      <c r="A395" s="30" t="s">
        <v>519</v>
      </c>
      <c r="B395" s="38" t="s">
        <v>0</v>
      </c>
      <c r="C395" s="51">
        <v>44026</v>
      </c>
      <c r="D395" s="30" t="s">
        <v>19</v>
      </c>
      <c r="E395" s="30" t="s">
        <v>537</v>
      </c>
      <c r="F395" s="43" t="s">
        <v>1108</v>
      </c>
      <c r="G395" s="38" t="s">
        <v>1107</v>
      </c>
      <c r="H395" s="52"/>
      <c r="I395" s="52"/>
      <c r="J395" s="52"/>
      <c r="K395" s="52"/>
      <c r="L395" s="52"/>
      <c r="M395" s="52"/>
      <c r="N395" s="52"/>
      <c r="O395" s="52"/>
      <c r="P395" s="52"/>
      <c r="Q395" s="52"/>
      <c r="R395" s="52"/>
      <c r="S395" s="52"/>
      <c r="T395" s="52"/>
      <c r="U395" s="52"/>
      <c r="V395" s="52"/>
      <c r="W395" s="52"/>
      <c r="X395" s="52"/>
      <c r="Y395" s="52"/>
      <c r="Z395" s="52"/>
    </row>
    <row r="396" spans="1:26" ht="30">
      <c r="A396" s="30" t="s">
        <v>519</v>
      </c>
      <c r="B396" s="38" t="s">
        <v>0</v>
      </c>
      <c r="C396" s="51">
        <v>43957</v>
      </c>
      <c r="D396" s="30" t="s">
        <v>19</v>
      </c>
      <c r="E396" s="30" t="s">
        <v>538</v>
      </c>
      <c r="F396" s="42" t="str">
        <f>HYPERLINK("https://www.revisor.mn.gov/bills/text.php?number=SF4495&amp;version=0&amp;session=ls91&amp;session_year=2020&amp;session_number=0","SF 4495")</f>
        <v>SF 4495</v>
      </c>
      <c r="G396" s="38" t="s">
        <v>10</v>
      </c>
      <c r="H396" s="52"/>
      <c r="I396" s="52"/>
      <c r="J396" s="52"/>
      <c r="K396" s="52"/>
      <c r="L396" s="52"/>
      <c r="M396" s="52"/>
      <c r="N396" s="52"/>
      <c r="O396" s="52"/>
      <c r="P396" s="52"/>
      <c r="Q396" s="52"/>
      <c r="R396" s="52"/>
      <c r="S396" s="52"/>
      <c r="T396" s="52"/>
      <c r="U396" s="52"/>
      <c r="V396" s="52"/>
      <c r="W396" s="52"/>
      <c r="X396" s="52"/>
      <c r="Y396" s="52"/>
      <c r="Z396" s="52"/>
    </row>
    <row r="397" spans="1:26" ht="45">
      <c r="A397" s="30" t="s">
        <v>519</v>
      </c>
      <c r="B397" s="38" t="s">
        <v>0</v>
      </c>
      <c r="C397" s="51">
        <v>43916</v>
      </c>
      <c r="D397" s="30" t="s">
        <v>40</v>
      </c>
      <c r="E397" s="30" t="s">
        <v>539</v>
      </c>
      <c r="F397" s="42" t="str">
        <f>HYPERLINK("https://s3.amazonaws.com/fn-document-service/file-by-sha384/59f35758011cc5d82a41d65d173de4ac38cbb21f09e53e92041232f83202fb3411ff3d89faa0efe5053efdb78076088c","HR 4531 COVID Response Appropriations")</f>
        <v>HR 4531 COVID Response Appropriations</v>
      </c>
      <c r="G397" s="38" t="s">
        <v>10</v>
      </c>
      <c r="H397" s="52"/>
      <c r="I397" s="52"/>
      <c r="J397" s="52"/>
      <c r="K397" s="52"/>
      <c r="L397" s="52"/>
      <c r="M397" s="52"/>
      <c r="N397" s="52"/>
      <c r="O397" s="52"/>
      <c r="P397" s="52"/>
      <c r="Q397" s="52"/>
      <c r="R397" s="52"/>
      <c r="S397" s="52"/>
      <c r="T397" s="52"/>
      <c r="U397" s="52"/>
      <c r="V397" s="52"/>
      <c r="W397" s="52"/>
      <c r="X397" s="52"/>
      <c r="Y397" s="52"/>
      <c r="Z397" s="52"/>
    </row>
    <row r="398" spans="1:26" ht="195.75" customHeight="1">
      <c r="A398" s="30" t="s">
        <v>519</v>
      </c>
      <c r="B398" s="38" t="s">
        <v>0</v>
      </c>
      <c r="C398" s="51">
        <v>43916</v>
      </c>
      <c r="D398" s="30" t="s">
        <v>49</v>
      </c>
      <c r="E398" s="39" t="s">
        <v>542</v>
      </c>
      <c r="F398" s="42" t="str">
        <f>HYPERLINK("https://s3.amazonaws.com/fn-document-service/file-by-sha384/59f35758011cc5d82a41d65d173de4ac38cbb21f09e53e92041232f83202fb3411ff3d89faa0efe5053efdb78076088c","HR 4531 COVID Response Appropriations")</f>
        <v>HR 4531 COVID Response Appropriations</v>
      </c>
      <c r="G398" s="38" t="s">
        <v>10</v>
      </c>
      <c r="H398" s="52"/>
      <c r="I398" s="52"/>
      <c r="J398" s="52"/>
      <c r="K398" s="52"/>
      <c r="L398" s="52"/>
      <c r="M398" s="52"/>
      <c r="N398" s="52"/>
      <c r="O398" s="52"/>
      <c r="P398" s="52"/>
      <c r="Q398" s="52"/>
      <c r="R398" s="52"/>
      <c r="S398" s="52"/>
      <c r="T398" s="52"/>
      <c r="U398" s="52"/>
      <c r="V398" s="52"/>
      <c r="W398" s="52"/>
      <c r="X398" s="52"/>
      <c r="Y398" s="52"/>
      <c r="Z398" s="52"/>
    </row>
    <row r="399" spans="1:26" ht="30">
      <c r="A399" s="30" t="s">
        <v>519</v>
      </c>
      <c r="B399" s="38" t="s">
        <v>0</v>
      </c>
      <c r="C399" s="51">
        <v>43916</v>
      </c>
      <c r="D399" s="30" t="s">
        <v>13</v>
      </c>
      <c r="E399" s="30" t="s">
        <v>540</v>
      </c>
      <c r="F399" s="42" t="str">
        <f>HYPERLINK("https://s3.amazonaws.com/fn-document-service/file-by-sha384/59f35758011cc5d82a41d65d173de4ac38cbb21f09e53e92041232f83202fb3411ff3d89faa0efe5053efdb78076088c","HR 4531 COVID Response Appropriations")</f>
        <v>HR 4531 COVID Response Appropriations</v>
      </c>
      <c r="G399" s="38" t="s">
        <v>10</v>
      </c>
      <c r="H399" s="52"/>
      <c r="I399" s="52"/>
      <c r="J399" s="52"/>
      <c r="K399" s="52"/>
      <c r="L399" s="52"/>
      <c r="M399" s="52"/>
      <c r="N399" s="52"/>
      <c r="O399" s="52"/>
      <c r="P399" s="52"/>
      <c r="Q399" s="52"/>
      <c r="R399" s="52"/>
      <c r="S399" s="52"/>
      <c r="T399" s="52"/>
      <c r="U399" s="52"/>
      <c r="V399" s="52"/>
      <c r="W399" s="52"/>
      <c r="X399" s="52"/>
      <c r="Y399" s="52"/>
      <c r="Z399" s="52"/>
    </row>
    <row r="400" spans="1:26" ht="48.75" customHeight="1">
      <c r="A400" s="30" t="s">
        <v>519</v>
      </c>
      <c r="B400" s="38" t="s">
        <v>0</v>
      </c>
      <c r="C400" s="51">
        <v>43922</v>
      </c>
      <c r="D400" s="30" t="s">
        <v>13</v>
      </c>
      <c r="E400" s="30" t="s">
        <v>541</v>
      </c>
      <c r="F400" s="42" t="str">
        <f>HYPERLINK("https://www.kare11.com/article/news/local/proposal-would-provide-state-funding-to-help-renters/89-d6541d34-0943-4a4c-90fe-54c06a255326","Proposal would provide state funding to help renters, landlords through pandemic")</f>
        <v>Proposal would provide state funding to help renters, landlords through pandemic</v>
      </c>
      <c r="G400" s="38" t="s">
        <v>10</v>
      </c>
      <c r="H400" s="52"/>
      <c r="I400" s="52"/>
      <c r="J400" s="52"/>
      <c r="K400" s="52"/>
      <c r="L400" s="52"/>
      <c r="M400" s="52"/>
      <c r="N400" s="52"/>
      <c r="O400" s="52"/>
      <c r="P400" s="52"/>
      <c r="Q400" s="52"/>
      <c r="R400" s="52"/>
      <c r="S400" s="52"/>
      <c r="T400" s="52"/>
      <c r="U400" s="52"/>
      <c r="V400" s="52"/>
      <c r="W400" s="52"/>
      <c r="X400" s="52"/>
      <c r="Y400" s="52"/>
      <c r="Z400" s="52"/>
    </row>
    <row r="401" spans="1:26" ht="32.25" customHeight="1">
      <c r="A401" s="30" t="s">
        <v>519</v>
      </c>
      <c r="B401" s="38" t="s">
        <v>0</v>
      </c>
      <c r="C401" s="51">
        <v>43945</v>
      </c>
      <c r="D401" s="30" t="s">
        <v>13</v>
      </c>
      <c r="E401" s="30" t="s">
        <v>1340</v>
      </c>
      <c r="F401" s="42" t="str">
        <f>HYPERLINK("https://www.revisor.mn.gov/bills/text.php?number=SF4495&amp;version=0&amp;session=ls91&amp;session_year=2020&amp;session_number=0","SF 4495")</f>
        <v>SF 4495</v>
      </c>
      <c r="G401" s="38" t="s">
        <v>10</v>
      </c>
      <c r="H401" s="52"/>
      <c r="I401" s="52"/>
      <c r="J401" s="52"/>
      <c r="K401" s="52"/>
      <c r="L401" s="52"/>
      <c r="M401" s="52"/>
      <c r="N401" s="52"/>
      <c r="O401" s="52"/>
      <c r="P401" s="52"/>
      <c r="Q401" s="52"/>
      <c r="R401" s="52"/>
      <c r="S401" s="52"/>
      <c r="T401" s="52"/>
      <c r="U401" s="52"/>
      <c r="V401" s="52"/>
      <c r="W401" s="52"/>
      <c r="X401" s="52"/>
      <c r="Y401" s="52"/>
      <c r="Z401" s="52"/>
    </row>
    <row r="402" spans="1:26" ht="75">
      <c r="A402" s="30" t="s">
        <v>519</v>
      </c>
      <c r="B402" s="38" t="s">
        <v>0</v>
      </c>
      <c r="C402" s="51">
        <v>44001</v>
      </c>
      <c r="D402" s="30" t="s">
        <v>13</v>
      </c>
      <c r="E402" s="30" t="s">
        <v>1247</v>
      </c>
      <c r="F402" s="43" t="s">
        <v>1246</v>
      </c>
      <c r="G402" s="38" t="s">
        <v>10</v>
      </c>
      <c r="H402" s="52"/>
      <c r="I402" s="52"/>
      <c r="J402" s="52"/>
      <c r="K402" s="52"/>
      <c r="L402" s="52"/>
      <c r="M402" s="52"/>
      <c r="N402" s="52"/>
      <c r="O402" s="52"/>
      <c r="P402" s="52"/>
      <c r="Q402" s="52"/>
      <c r="R402" s="52"/>
      <c r="S402" s="52"/>
      <c r="T402" s="52"/>
      <c r="U402" s="52"/>
      <c r="V402" s="52"/>
      <c r="W402" s="52"/>
      <c r="X402" s="52"/>
      <c r="Y402" s="52"/>
      <c r="Z402" s="52"/>
    </row>
    <row r="403" spans="1:26" ht="75">
      <c r="A403" s="30" t="s">
        <v>519</v>
      </c>
      <c r="B403" s="38" t="s">
        <v>0</v>
      </c>
      <c r="C403" s="51">
        <v>44033</v>
      </c>
      <c r="D403" s="30" t="s">
        <v>154</v>
      </c>
      <c r="E403" s="30" t="s">
        <v>1259</v>
      </c>
      <c r="F403" s="43" t="s">
        <v>1260</v>
      </c>
      <c r="G403" s="38" t="s">
        <v>1124</v>
      </c>
      <c r="H403" s="52"/>
      <c r="I403" s="52"/>
      <c r="J403" s="52"/>
      <c r="K403" s="52"/>
      <c r="L403" s="52"/>
      <c r="M403" s="52"/>
      <c r="N403" s="52"/>
      <c r="O403" s="52"/>
      <c r="P403" s="52"/>
      <c r="Q403" s="52"/>
      <c r="R403" s="52"/>
      <c r="S403" s="52"/>
      <c r="T403" s="52"/>
      <c r="U403" s="52"/>
      <c r="V403" s="52"/>
      <c r="W403" s="52"/>
      <c r="X403" s="52"/>
      <c r="Y403" s="52"/>
      <c r="Z403" s="52"/>
    </row>
    <row r="404" spans="1:26" ht="90">
      <c r="A404" s="30" t="s">
        <v>519</v>
      </c>
      <c r="B404" s="38" t="s">
        <v>0</v>
      </c>
      <c r="C404" s="51">
        <v>43916</v>
      </c>
      <c r="D404" s="30" t="s">
        <v>543</v>
      </c>
      <c r="E404" s="39" t="s">
        <v>544</v>
      </c>
      <c r="F404" s="42" t="str">
        <f>HYPERLINK("https://s3.amazonaws.com/fn-document-service/file-by-sha384/59f35758011cc5d82a41d65d173de4ac38cbb21f09e53e92041232f83202fb3411ff3d89faa0efe5053efdb78076088c","HR 4531 COVID Response Appropriations")</f>
        <v>HR 4531 COVID Response Appropriations</v>
      </c>
      <c r="G404" s="38" t="s">
        <v>10</v>
      </c>
      <c r="H404" s="52"/>
      <c r="I404" s="52"/>
      <c r="J404" s="52"/>
      <c r="K404" s="52"/>
      <c r="L404" s="52"/>
      <c r="M404" s="52"/>
      <c r="N404" s="52"/>
      <c r="O404" s="52"/>
      <c r="P404" s="52"/>
      <c r="Q404" s="52"/>
      <c r="R404" s="52"/>
      <c r="S404" s="52"/>
      <c r="T404" s="52"/>
      <c r="U404" s="52"/>
      <c r="V404" s="52"/>
      <c r="W404" s="52"/>
      <c r="X404" s="52"/>
      <c r="Y404" s="52"/>
      <c r="Z404" s="52"/>
    </row>
    <row r="405" spans="1:26" ht="75">
      <c r="A405" s="30" t="s">
        <v>545</v>
      </c>
      <c r="B405" s="38" t="s">
        <v>18</v>
      </c>
      <c r="C405" s="51">
        <v>44007</v>
      </c>
      <c r="D405" s="30" t="s">
        <v>13</v>
      </c>
      <c r="E405" s="59" t="s">
        <v>1078</v>
      </c>
      <c r="F405" s="43" t="s">
        <v>1079</v>
      </c>
      <c r="G405" s="38" t="s">
        <v>10</v>
      </c>
      <c r="H405" s="52"/>
      <c r="I405" s="52"/>
      <c r="J405" s="52"/>
      <c r="K405" s="52"/>
      <c r="L405" s="52"/>
      <c r="M405" s="52"/>
      <c r="N405" s="52"/>
      <c r="O405" s="52"/>
      <c r="P405" s="52"/>
      <c r="Q405" s="52"/>
      <c r="R405" s="52"/>
      <c r="S405" s="52"/>
      <c r="T405" s="52"/>
      <c r="U405" s="52"/>
      <c r="V405" s="52"/>
      <c r="W405" s="52"/>
      <c r="X405" s="52"/>
      <c r="Y405" s="52"/>
      <c r="Z405" s="52"/>
    </row>
    <row r="406" spans="1:26" ht="60">
      <c r="A406" s="30" t="s">
        <v>545</v>
      </c>
      <c r="B406" s="38" t="s">
        <v>18</v>
      </c>
      <c r="C406" s="51">
        <v>44111</v>
      </c>
      <c r="D406" s="30" t="s">
        <v>13</v>
      </c>
      <c r="E406" s="59" t="s">
        <v>1445</v>
      </c>
      <c r="F406" s="43" t="s">
        <v>1446</v>
      </c>
      <c r="G406" s="38" t="s">
        <v>1447</v>
      </c>
      <c r="H406" s="52"/>
      <c r="I406" s="52"/>
      <c r="J406" s="52"/>
      <c r="K406" s="52"/>
      <c r="L406" s="52"/>
      <c r="M406" s="52"/>
      <c r="N406" s="52"/>
      <c r="O406" s="52"/>
      <c r="P406" s="52"/>
      <c r="Q406" s="52"/>
      <c r="R406" s="52"/>
      <c r="S406" s="52"/>
      <c r="T406" s="52"/>
      <c r="U406" s="52"/>
      <c r="V406" s="52"/>
      <c r="W406" s="52"/>
      <c r="X406" s="52"/>
      <c r="Y406" s="52"/>
      <c r="Z406" s="52"/>
    </row>
    <row r="407" spans="1:26" ht="30">
      <c r="A407" s="30" t="s">
        <v>546</v>
      </c>
      <c r="B407" s="38" t="s">
        <v>547</v>
      </c>
      <c r="C407" s="51">
        <v>43956</v>
      </c>
      <c r="D407" s="30" t="s">
        <v>13</v>
      </c>
      <c r="E407" s="39" t="s">
        <v>548</v>
      </c>
      <c r="F407" s="43" t="s">
        <v>549</v>
      </c>
      <c r="G407" s="38" t="s">
        <v>10</v>
      </c>
      <c r="H407" s="52"/>
      <c r="I407" s="52"/>
      <c r="J407" s="52"/>
      <c r="K407" s="52"/>
      <c r="L407" s="52"/>
      <c r="M407" s="52"/>
      <c r="N407" s="52"/>
      <c r="O407" s="52"/>
      <c r="P407" s="52"/>
      <c r="Q407" s="52"/>
      <c r="R407" s="52"/>
      <c r="S407" s="52"/>
      <c r="T407" s="52"/>
      <c r="U407" s="52"/>
      <c r="V407" s="52"/>
      <c r="W407" s="52"/>
      <c r="X407" s="52"/>
      <c r="Y407" s="52"/>
      <c r="Z407" s="52"/>
    </row>
    <row r="408" spans="1:26" ht="105">
      <c r="A408" s="30" t="s">
        <v>546</v>
      </c>
      <c r="B408" s="38" t="s">
        <v>550</v>
      </c>
      <c r="C408" s="51">
        <v>43923</v>
      </c>
      <c r="D408" s="30" t="s">
        <v>49</v>
      </c>
      <c r="E408" s="30" t="s">
        <v>551</v>
      </c>
      <c r="F408" s="42" t="str">
        <f>HYPERLINK("https://s3.amazonaws.com/fn-document-service/file-by-sha384/81a5709ffa6f57d4d5b60861fef0bf4fb4e2607cb5bf2ccea24e984214a0b0e9329b860fb19cd17f4116965316c3bfa8#page=","City Council Agenda")</f>
        <v>City Council Agenda</v>
      </c>
      <c r="G408" s="38" t="s">
        <v>10</v>
      </c>
      <c r="H408" s="52"/>
      <c r="I408" s="52"/>
      <c r="J408" s="52"/>
      <c r="K408" s="52"/>
      <c r="L408" s="52"/>
      <c r="M408" s="52"/>
      <c r="N408" s="52"/>
      <c r="O408" s="52"/>
      <c r="P408" s="52"/>
      <c r="Q408" s="52"/>
      <c r="R408" s="52"/>
      <c r="S408" s="52"/>
      <c r="T408" s="52"/>
      <c r="U408" s="52"/>
      <c r="V408" s="52"/>
      <c r="W408" s="52"/>
      <c r="X408" s="52"/>
      <c r="Y408" s="52"/>
      <c r="Z408" s="52"/>
    </row>
    <row r="409" spans="1:26" ht="45">
      <c r="A409" s="30" t="s">
        <v>546</v>
      </c>
      <c r="B409" s="38" t="s">
        <v>1003</v>
      </c>
      <c r="C409" s="51">
        <v>43979</v>
      </c>
      <c r="D409" s="30" t="s">
        <v>13</v>
      </c>
      <c r="E409" s="30" t="s">
        <v>1005</v>
      </c>
      <c r="F409" s="43" t="s">
        <v>1004</v>
      </c>
      <c r="G409" s="38" t="s">
        <v>10</v>
      </c>
      <c r="H409" s="52"/>
      <c r="I409" s="52"/>
      <c r="J409" s="52"/>
      <c r="K409" s="52"/>
      <c r="L409" s="52"/>
      <c r="M409" s="52"/>
      <c r="N409" s="52"/>
      <c r="O409" s="52"/>
      <c r="P409" s="52"/>
      <c r="Q409" s="52"/>
      <c r="R409" s="52"/>
      <c r="S409" s="52"/>
      <c r="T409" s="52"/>
      <c r="U409" s="52"/>
      <c r="V409" s="52"/>
      <c r="W409" s="52"/>
      <c r="X409" s="52"/>
      <c r="Y409" s="52"/>
      <c r="Z409" s="52"/>
    </row>
    <row r="410" spans="1:26" ht="45">
      <c r="A410" s="30" t="s">
        <v>546</v>
      </c>
      <c r="B410" s="38" t="s">
        <v>18</v>
      </c>
      <c r="C410" s="51">
        <v>43951</v>
      </c>
      <c r="D410" s="30" t="s">
        <v>49</v>
      </c>
      <c r="E410" s="30" t="s">
        <v>552</v>
      </c>
      <c r="F410" s="43" t="s">
        <v>553</v>
      </c>
      <c r="G410" s="38" t="s">
        <v>10</v>
      </c>
      <c r="H410" s="52"/>
      <c r="I410" s="52"/>
      <c r="J410" s="52"/>
      <c r="K410" s="52"/>
      <c r="L410" s="52"/>
      <c r="M410" s="52"/>
      <c r="N410" s="52"/>
      <c r="O410" s="52"/>
      <c r="P410" s="52"/>
      <c r="Q410" s="52"/>
      <c r="R410" s="52"/>
      <c r="S410" s="52"/>
      <c r="T410" s="52"/>
      <c r="U410" s="52"/>
      <c r="V410" s="52"/>
      <c r="W410" s="52"/>
      <c r="X410" s="52"/>
      <c r="Y410" s="52"/>
      <c r="Z410" s="52"/>
    </row>
    <row r="411" spans="1:26" ht="45">
      <c r="A411" s="30" t="s">
        <v>554</v>
      </c>
      <c r="B411" s="38" t="s">
        <v>555</v>
      </c>
      <c r="C411" s="51">
        <v>43942</v>
      </c>
      <c r="D411" s="30" t="s">
        <v>13</v>
      </c>
      <c r="E411" s="30" t="s">
        <v>556</v>
      </c>
      <c r="F411" s="43" t="s">
        <v>557</v>
      </c>
      <c r="G411" s="38" t="s">
        <v>10</v>
      </c>
      <c r="H411" s="52"/>
      <c r="I411" s="52"/>
      <c r="J411" s="52"/>
      <c r="K411" s="52"/>
      <c r="L411" s="52"/>
      <c r="M411" s="52"/>
      <c r="N411" s="52"/>
      <c r="O411" s="52"/>
      <c r="P411" s="52"/>
      <c r="Q411" s="52"/>
      <c r="R411" s="52"/>
      <c r="S411" s="52"/>
      <c r="T411" s="52"/>
      <c r="U411" s="52"/>
      <c r="V411" s="52"/>
      <c r="W411" s="52"/>
      <c r="X411" s="52"/>
      <c r="Y411" s="52"/>
      <c r="Z411" s="52"/>
    </row>
    <row r="412" spans="1:26" ht="60">
      <c r="A412" s="30" t="s">
        <v>554</v>
      </c>
      <c r="B412" s="38" t="s">
        <v>558</v>
      </c>
      <c r="C412" s="51">
        <v>43914</v>
      </c>
      <c r="D412" s="30" t="s">
        <v>13</v>
      </c>
      <c r="E412" s="30" t="s">
        <v>559</v>
      </c>
      <c r="F412" s="42" t="str">
        <f>HYPERLINK("https://www.kpax.com/news/missoula-county/rental-assistance-available-for-worker-affected-by-covid-19","Rental assistance available for Missoula workers affected by COVID-19")</f>
        <v>Rental assistance available for Missoula workers affected by COVID-19</v>
      </c>
      <c r="G412" s="38" t="s">
        <v>10</v>
      </c>
      <c r="H412" s="52"/>
      <c r="I412" s="52"/>
      <c r="J412" s="52"/>
      <c r="K412" s="52"/>
      <c r="L412" s="52"/>
      <c r="M412" s="52"/>
      <c r="N412" s="52"/>
      <c r="O412" s="52"/>
      <c r="P412" s="52"/>
      <c r="Q412" s="52"/>
      <c r="R412" s="52"/>
      <c r="S412" s="52"/>
      <c r="T412" s="52"/>
      <c r="U412" s="52"/>
      <c r="V412" s="52"/>
      <c r="W412" s="52"/>
      <c r="X412" s="52"/>
      <c r="Y412" s="52"/>
      <c r="Z412" s="52"/>
    </row>
    <row r="413" spans="1:26" ht="105">
      <c r="A413" s="30" t="s">
        <v>554</v>
      </c>
      <c r="B413" s="38" t="s">
        <v>18</v>
      </c>
      <c r="C413" s="51">
        <v>43916</v>
      </c>
      <c r="D413" s="30" t="s">
        <v>243</v>
      </c>
      <c r="E413" s="30" t="s">
        <v>560</v>
      </c>
      <c r="F413" s="42" t="str">
        <f>HYPERLINK("https://covid19.mt.gov/Portals/223/Documents/Stay%20at%20Home%20Directive.pdf?ver=2020-03-26-173332-177","Directive Implementing Executive Orders 2-2020 and 3-2020 providing measures to stay at home and designating certain essential functions")</f>
        <v>Directive Implementing Executive Orders 2-2020 and 3-2020 providing measures to stay at home and designating certain essential functions</v>
      </c>
      <c r="G413" s="38" t="s">
        <v>10</v>
      </c>
      <c r="H413" s="52"/>
      <c r="I413" s="52"/>
      <c r="J413" s="52"/>
      <c r="K413" s="52"/>
      <c r="L413" s="52"/>
      <c r="M413" s="52"/>
      <c r="N413" s="52"/>
      <c r="O413" s="52"/>
      <c r="P413" s="52"/>
      <c r="Q413" s="52"/>
      <c r="R413" s="52"/>
      <c r="S413" s="52"/>
      <c r="T413" s="52"/>
      <c r="U413" s="52"/>
      <c r="V413" s="52"/>
      <c r="W413" s="52"/>
      <c r="X413" s="52"/>
      <c r="Y413" s="52"/>
      <c r="Z413" s="52"/>
    </row>
    <row r="414" spans="1:26" ht="45" customHeight="1">
      <c r="A414" s="30" t="s">
        <v>554</v>
      </c>
      <c r="B414" s="38" t="s">
        <v>18</v>
      </c>
      <c r="C414" s="51">
        <v>43921</v>
      </c>
      <c r="D414" s="30" t="s">
        <v>19</v>
      </c>
      <c r="E414" s="30" t="s">
        <v>561</v>
      </c>
      <c r="F414" s="42" t="str">
        <f>HYPERLINK("https://www.kbzk.com/news/coronavirus/bullock-landlords-cannot-evict-for-non-payment-of-rent-during-stay-at-home-order","Bullock: Landlords cannot evict for non-payment of rent during stay-at-home order")</f>
        <v>Bullock: Landlords cannot evict for non-payment of rent during stay-at-home order</v>
      </c>
      <c r="G414" s="38" t="s">
        <v>10</v>
      </c>
      <c r="H414" s="52"/>
      <c r="I414" s="52"/>
      <c r="J414" s="52"/>
      <c r="K414" s="52"/>
      <c r="L414" s="52"/>
      <c r="M414" s="52"/>
      <c r="N414" s="52"/>
      <c r="O414" s="52"/>
      <c r="P414" s="52"/>
      <c r="Q414" s="52"/>
      <c r="R414" s="52"/>
      <c r="S414" s="52"/>
      <c r="T414" s="52"/>
      <c r="U414" s="52"/>
      <c r="V414" s="52"/>
      <c r="W414" s="52"/>
      <c r="X414" s="52"/>
      <c r="Y414" s="52"/>
      <c r="Z414" s="52"/>
    </row>
    <row r="415" spans="1:26" ht="180">
      <c r="A415" s="30" t="s">
        <v>554</v>
      </c>
      <c r="B415" s="38" t="s">
        <v>18</v>
      </c>
      <c r="C415" s="51">
        <v>43935</v>
      </c>
      <c r="D415" s="30" t="s">
        <v>13</v>
      </c>
      <c r="E415" s="30" t="s">
        <v>562</v>
      </c>
      <c r="F415" s="42" t="str">
        <f>HYPERLINK("https://www.kbzk.com/news/montana-news/bullock-announces-emergency-rental-assistance-for-families-hit-hardest-by-covid-19","Bullock announces emergency rental assistance for families hit hardest by COVID-19")</f>
        <v>Bullock announces emergency rental assistance for families hit hardest by COVID-19</v>
      </c>
      <c r="G415" s="38" t="s">
        <v>10</v>
      </c>
      <c r="H415" s="52"/>
      <c r="I415" s="52"/>
      <c r="J415" s="52"/>
      <c r="K415" s="52"/>
      <c r="L415" s="52"/>
      <c r="M415" s="52"/>
      <c r="N415" s="52"/>
      <c r="O415" s="52"/>
      <c r="P415" s="52"/>
      <c r="Q415" s="52"/>
      <c r="R415" s="52"/>
      <c r="S415" s="52"/>
      <c r="T415" s="52"/>
      <c r="U415" s="52"/>
      <c r="V415" s="52"/>
      <c r="W415" s="52"/>
      <c r="X415" s="52"/>
      <c r="Y415" s="52"/>
      <c r="Z415" s="52"/>
    </row>
    <row r="416" spans="1:26" ht="30">
      <c r="A416" s="30" t="s">
        <v>554</v>
      </c>
      <c r="B416" s="38" t="s">
        <v>18</v>
      </c>
      <c r="C416" s="51">
        <v>43910</v>
      </c>
      <c r="D416" s="30" t="s">
        <v>8</v>
      </c>
      <c r="E416" s="30" t="s">
        <v>563</v>
      </c>
      <c r="F416" s="43" t="s">
        <v>564</v>
      </c>
      <c r="G416" s="38" t="s">
        <v>10</v>
      </c>
      <c r="H416" s="52"/>
      <c r="I416" s="52"/>
      <c r="J416" s="52"/>
      <c r="K416" s="52"/>
      <c r="L416" s="52"/>
      <c r="M416" s="52"/>
      <c r="N416" s="52"/>
      <c r="O416" s="52"/>
      <c r="P416" s="52"/>
      <c r="Q416" s="52"/>
      <c r="R416" s="52"/>
      <c r="S416" s="52"/>
      <c r="T416" s="52"/>
      <c r="U416" s="52"/>
      <c r="V416" s="52"/>
      <c r="W416" s="52"/>
      <c r="X416" s="52"/>
      <c r="Y416" s="52"/>
      <c r="Z416" s="52"/>
    </row>
    <row r="417" spans="1:26" ht="30">
      <c r="A417" s="30" t="s">
        <v>554</v>
      </c>
      <c r="B417" s="38" t="s">
        <v>18</v>
      </c>
      <c r="C417" s="51">
        <v>43910</v>
      </c>
      <c r="D417" s="30" t="s">
        <v>359</v>
      </c>
      <c r="E417" s="30" t="s">
        <v>565</v>
      </c>
      <c r="F417" s="43" t="str">
        <f>HYPERLINK("https://www.novoco.com/sites/default/files/atoms/files/montana_housing_guidance_on_covid19_032020.pdf","Deadline to submit Letter of Internet postponed")</f>
        <v>Deadline to submit Letter of Internet postponed</v>
      </c>
      <c r="G417" s="38" t="s">
        <v>10</v>
      </c>
      <c r="H417" s="52"/>
      <c r="I417" s="52"/>
      <c r="J417" s="52"/>
      <c r="K417" s="52"/>
      <c r="L417" s="52"/>
      <c r="M417" s="52"/>
      <c r="N417" s="52"/>
      <c r="O417" s="52"/>
      <c r="P417" s="52"/>
      <c r="Q417" s="52"/>
      <c r="R417" s="52"/>
      <c r="S417" s="52"/>
      <c r="T417" s="52"/>
      <c r="U417" s="52"/>
      <c r="V417" s="52"/>
      <c r="W417" s="52"/>
      <c r="X417" s="52"/>
      <c r="Y417" s="52"/>
      <c r="Z417" s="52"/>
    </row>
    <row r="418" spans="1:26" ht="45">
      <c r="A418" s="30" t="s">
        <v>554</v>
      </c>
      <c r="B418" s="38" t="s">
        <v>566</v>
      </c>
      <c r="C418" s="51">
        <v>43917</v>
      </c>
      <c r="D418" s="30" t="s">
        <v>13</v>
      </c>
      <c r="E418" s="30" t="s">
        <v>567</v>
      </c>
      <c r="F418" s="42" t="s">
        <v>568</v>
      </c>
      <c r="G418" s="38" t="s">
        <v>10</v>
      </c>
      <c r="H418" s="52"/>
      <c r="I418" s="52"/>
      <c r="J418" s="52"/>
      <c r="K418" s="52"/>
      <c r="L418" s="52"/>
      <c r="M418" s="52"/>
      <c r="N418" s="52"/>
      <c r="O418" s="52"/>
      <c r="P418" s="52"/>
      <c r="Q418" s="52"/>
      <c r="R418" s="52"/>
      <c r="S418" s="52"/>
      <c r="T418" s="52"/>
      <c r="U418" s="52"/>
      <c r="V418" s="52"/>
      <c r="W418" s="52"/>
      <c r="X418" s="52"/>
      <c r="Y418" s="52"/>
      <c r="Z418" s="52"/>
    </row>
    <row r="419" spans="1:26" ht="92.25" customHeight="1">
      <c r="A419" s="30" t="s">
        <v>569</v>
      </c>
      <c r="B419" s="38" t="s">
        <v>1191</v>
      </c>
      <c r="C419" s="51">
        <v>44036</v>
      </c>
      <c r="D419" s="30" t="s">
        <v>13</v>
      </c>
      <c r="E419" s="30" t="s">
        <v>1192</v>
      </c>
      <c r="F419" s="43" t="s">
        <v>1193</v>
      </c>
      <c r="G419" s="38" t="s">
        <v>10</v>
      </c>
      <c r="H419" s="52"/>
      <c r="I419" s="52"/>
      <c r="J419" s="52"/>
      <c r="K419" s="52"/>
      <c r="L419" s="52"/>
      <c r="M419" s="52"/>
      <c r="N419" s="52"/>
      <c r="O419" s="52"/>
      <c r="P419" s="52"/>
      <c r="Q419" s="52"/>
      <c r="R419" s="52"/>
      <c r="S419" s="52"/>
      <c r="T419" s="52"/>
      <c r="U419" s="52"/>
      <c r="V419" s="52"/>
      <c r="W419" s="52"/>
      <c r="X419" s="52"/>
      <c r="Y419" s="52"/>
      <c r="Z419" s="52"/>
    </row>
    <row r="420" spans="1:26" ht="60">
      <c r="A420" s="30" t="s">
        <v>569</v>
      </c>
      <c r="B420" s="38" t="s">
        <v>18</v>
      </c>
      <c r="C420" s="51">
        <v>44042</v>
      </c>
      <c r="D420" s="30" t="s">
        <v>247</v>
      </c>
      <c r="E420" s="30" t="s">
        <v>1261</v>
      </c>
      <c r="F420" s="43" t="s">
        <v>1262</v>
      </c>
      <c r="G420" s="38" t="s">
        <v>17</v>
      </c>
      <c r="H420" s="52"/>
      <c r="I420" s="52"/>
      <c r="J420" s="52"/>
      <c r="K420" s="52"/>
      <c r="L420" s="52"/>
      <c r="M420" s="52"/>
      <c r="N420" s="52"/>
      <c r="O420" s="52"/>
      <c r="P420" s="52"/>
      <c r="Q420" s="52"/>
      <c r="R420" s="52"/>
      <c r="S420" s="52"/>
      <c r="T420" s="52"/>
      <c r="U420" s="52"/>
      <c r="V420" s="52"/>
      <c r="W420" s="52"/>
      <c r="X420" s="52"/>
      <c r="Y420" s="52"/>
      <c r="Z420" s="52"/>
    </row>
    <row r="421" spans="1:26" ht="30">
      <c r="A421" s="30" t="s">
        <v>569</v>
      </c>
      <c r="B421" s="38" t="s">
        <v>18</v>
      </c>
      <c r="C421" s="51">
        <v>43903</v>
      </c>
      <c r="D421" s="30" t="s">
        <v>19</v>
      </c>
      <c r="E421" s="30" t="s">
        <v>570</v>
      </c>
      <c r="F421" s="42" t="str">
        <f>HYPERLINK("https://www.dropbox.com/s/kci7kheh31ffhfi/EO%2020-07%20-%20Temporary%20Residential%20Eviction%20Relief%20.pdf?dl=0","EO 20-07:  Temporary Residential Eviction Relief ")</f>
        <v xml:space="preserve">EO 20-07:  Temporary Residential Eviction Relief </v>
      </c>
      <c r="G421" s="38" t="s">
        <v>10</v>
      </c>
      <c r="H421" s="52"/>
      <c r="I421" s="52"/>
      <c r="J421" s="52"/>
      <c r="K421" s="52"/>
      <c r="L421" s="52"/>
      <c r="M421" s="52"/>
      <c r="N421" s="52"/>
      <c r="O421" s="52"/>
      <c r="P421" s="52"/>
      <c r="Q421" s="52"/>
      <c r="R421" s="52"/>
      <c r="S421" s="52"/>
      <c r="T421" s="52"/>
      <c r="U421" s="52"/>
      <c r="V421" s="52"/>
      <c r="W421" s="52"/>
      <c r="X421" s="52"/>
      <c r="Y421" s="52"/>
      <c r="Z421" s="52"/>
    </row>
    <row r="422" spans="1:26" ht="63" customHeight="1">
      <c r="A422" s="30" t="s">
        <v>569</v>
      </c>
      <c r="B422" s="38" t="s">
        <v>18</v>
      </c>
      <c r="C422" s="51">
        <v>44147</v>
      </c>
      <c r="D422" s="30" t="s">
        <v>13</v>
      </c>
      <c r="E422" s="30" t="s">
        <v>1448</v>
      </c>
      <c r="F422" s="43" t="s">
        <v>1449</v>
      </c>
      <c r="G422" s="38" t="s">
        <v>10</v>
      </c>
      <c r="H422" s="52"/>
      <c r="I422" s="52"/>
      <c r="J422" s="52"/>
      <c r="K422" s="52"/>
      <c r="L422" s="52"/>
      <c r="M422" s="52"/>
      <c r="N422" s="52"/>
      <c r="O422" s="52"/>
      <c r="P422" s="52"/>
      <c r="Q422" s="52"/>
      <c r="R422" s="52"/>
      <c r="S422" s="52"/>
      <c r="T422" s="52"/>
      <c r="U422" s="52"/>
      <c r="V422" s="52"/>
      <c r="W422" s="52"/>
      <c r="X422" s="52"/>
      <c r="Y422" s="52"/>
      <c r="Z422" s="52"/>
    </row>
    <row r="423" spans="1:26" ht="63" customHeight="1">
      <c r="A423" s="30" t="s">
        <v>571</v>
      </c>
      <c r="B423" s="38" t="s">
        <v>1450</v>
      </c>
      <c r="C423" s="51">
        <v>43991</v>
      </c>
      <c r="D423" s="30" t="s">
        <v>13</v>
      </c>
      <c r="E423" s="30" t="s">
        <v>1452</v>
      </c>
      <c r="F423" s="43" t="s">
        <v>1451</v>
      </c>
      <c r="G423" s="38" t="s">
        <v>10</v>
      </c>
      <c r="H423" s="52"/>
      <c r="I423" s="52"/>
      <c r="J423" s="52"/>
      <c r="K423" s="52"/>
      <c r="L423" s="52"/>
      <c r="M423" s="52"/>
      <c r="N423" s="52"/>
      <c r="O423" s="52"/>
      <c r="P423" s="52"/>
      <c r="Q423" s="52"/>
      <c r="R423" s="52"/>
      <c r="S423" s="52"/>
      <c r="T423" s="52"/>
      <c r="U423" s="52"/>
      <c r="V423" s="52"/>
      <c r="W423" s="52"/>
      <c r="X423" s="52"/>
      <c r="Y423" s="52"/>
      <c r="Z423" s="52"/>
    </row>
    <row r="424" spans="1:26" ht="48.75" customHeight="1">
      <c r="A424" s="30" t="s">
        <v>571</v>
      </c>
      <c r="B424" s="38" t="s">
        <v>1094</v>
      </c>
      <c r="C424" s="51">
        <v>44019</v>
      </c>
      <c r="D424" s="30" t="s">
        <v>13</v>
      </c>
      <c r="E424" s="30" t="s">
        <v>1095</v>
      </c>
      <c r="F424" s="43" t="s">
        <v>1096</v>
      </c>
      <c r="G424" s="38" t="s">
        <v>10</v>
      </c>
      <c r="H424" s="52"/>
      <c r="I424" s="52"/>
      <c r="J424" s="52"/>
      <c r="K424" s="52"/>
      <c r="L424" s="52"/>
      <c r="M424" s="52"/>
      <c r="N424" s="52"/>
      <c r="O424" s="52"/>
      <c r="P424" s="52"/>
      <c r="Q424" s="52"/>
      <c r="R424" s="52"/>
      <c r="S424" s="52"/>
      <c r="T424" s="52"/>
      <c r="U424" s="52"/>
      <c r="V424" s="52"/>
      <c r="W424" s="52"/>
      <c r="X424" s="52"/>
      <c r="Y424" s="52"/>
      <c r="Z424" s="52"/>
    </row>
    <row r="425" spans="1:26" ht="30">
      <c r="A425" s="30" t="s">
        <v>571</v>
      </c>
      <c r="B425" s="38" t="s">
        <v>1097</v>
      </c>
      <c r="C425" s="51">
        <v>44019</v>
      </c>
      <c r="D425" s="30" t="s">
        <v>13</v>
      </c>
      <c r="E425" s="30" t="s">
        <v>1099</v>
      </c>
      <c r="F425" s="43" t="s">
        <v>1100</v>
      </c>
      <c r="G425" s="38" t="s">
        <v>10</v>
      </c>
      <c r="H425" s="52"/>
      <c r="I425" s="52"/>
      <c r="J425" s="52"/>
      <c r="K425" s="52"/>
      <c r="L425" s="52"/>
      <c r="M425" s="52"/>
      <c r="N425" s="52"/>
      <c r="O425" s="52"/>
      <c r="P425" s="52"/>
      <c r="Q425" s="52"/>
      <c r="R425" s="52"/>
      <c r="S425" s="52"/>
      <c r="T425" s="52"/>
      <c r="U425" s="52"/>
      <c r="V425" s="52"/>
      <c r="W425" s="52"/>
      <c r="X425" s="52"/>
      <c r="Y425" s="52"/>
      <c r="Z425" s="52"/>
    </row>
    <row r="426" spans="1:26">
      <c r="A426" s="30" t="s">
        <v>571</v>
      </c>
      <c r="B426" s="38" t="s">
        <v>18</v>
      </c>
      <c r="C426" s="51">
        <v>44074</v>
      </c>
      <c r="D426" s="30" t="s">
        <v>19</v>
      </c>
      <c r="E426" s="30" t="s">
        <v>1268</v>
      </c>
      <c r="F426" s="43" t="s">
        <v>1269</v>
      </c>
      <c r="G426" s="38" t="s">
        <v>10</v>
      </c>
      <c r="H426" s="52"/>
      <c r="I426" s="52"/>
      <c r="J426" s="52"/>
      <c r="K426" s="52"/>
      <c r="L426" s="52"/>
      <c r="M426" s="52"/>
      <c r="N426" s="52"/>
      <c r="O426" s="52"/>
      <c r="P426" s="52"/>
      <c r="Q426" s="52"/>
      <c r="R426" s="52"/>
      <c r="S426" s="52"/>
      <c r="T426" s="52"/>
      <c r="U426" s="52"/>
      <c r="V426" s="52"/>
      <c r="W426" s="52"/>
      <c r="X426" s="52"/>
      <c r="Y426" s="52"/>
      <c r="Z426" s="52"/>
    </row>
    <row r="427" spans="1:26" ht="60">
      <c r="A427" s="30" t="s">
        <v>571</v>
      </c>
      <c r="B427" s="38" t="s">
        <v>18</v>
      </c>
      <c r="C427" s="51">
        <v>43928</v>
      </c>
      <c r="D427" s="30" t="s">
        <v>13</v>
      </c>
      <c r="E427" s="30" t="s">
        <v>572</v>
      </c>
      <c r="F427" s="42" t="str">
        <f>HYPERLINK("http://ag.nv.gov/News/PR/2020/Attorney_General_Ford_Announces_$2_Million_in_Funding_for_Emergency_Rental_Assistance/","Attorney General Ford Announces $2 Million in Funding for Emergency Rental Assistance")</f>
        <v>Attorney General Ford Announces $2 Million in Funding for Emergency Rental Assistance</v>
      </c>
      <c r="G427" s="38" t="s">
        <v>10</v>
      </c>
      <c r="H427" s="52"/>
      <c r="I427" s="52"/>
      <c r="J427" s="52"/>
      <c r="K427" s="52"/>
      <c r="L427" s="52"/>
      <c r="M427" s="52"/>
      <c r="N427" s="52"/>
      <c r="O427" s="52"/>
      <c r="P427" s="52"/>
      <c r="Q427" s="52"/>
      <c r="R427" s="52"/>
      <c r="S427" s="52"/>
      <c r="T427" s="52"/>
      <c r="U427" s="52"/>
      <c r="V427" s="52"/>
      <c r="W427" s="52"/>
      <c r="X427" s="52"/>
      <c r="Y427" s="52"/>
      <c r="Z427" s="52"/>
    </row>
    <row r="428" spans="1:26" ht="45.75" customHeight="1">
      <c r="A428" s="30" t="s">
        <v>571</v>
      </c>
      <c r="B428" s="38" t="s">
        <v>18</v>
      </c>
      <c r="C428" s="51">
        <v>44007</v>
      </c>
      <c r="D428" s="30" t="s">
        <v>13</v>
      </c>
      <c r="E428" s="30" t="s">
        <v>1080</v>
      </c>
      <c r="F428" s="43" t="s">
        <v>1101</v>
      </c>
      <c r="G428" s="38" t="s">
        <v>10</v>
      </c>
      <c r="H428" s="52"/>
      <c r="I428" s="52"/>
      <c r="J428" s="52"/>
      <c r="K428" s="52"/>
      <c r="L428" s="52"/>
      <c r="M428" s="52"/>
      <c r="N428" s="52"/>
      <c r="O428" s="52"/>
      <c r="P428" s="52"/>
      <c r="Q428" s="52"/>
      <c r="R428" s="52"/>
      <c r="S428" s="52"/>
      <c r="T428" s="52"/>
      <c r="U428" s="52"/>
      <c r="V428" s="52"/>
      <c r="W428" s="52"/>
      <c r="X428" s="52"/>
      <c r="Y428" s="52"/>
      <c r="Z428" s="52"/>
    </row>
    <row r="429" spans="1:26" ht="32.25" customHeight="1">
      <c r="A429" s="30" t="s">
        <v>573</v>
      </c>
      <c r="B429" s="38" t="s">
        <v>18</v>
      </c>
      <c r="C429" s="51">
        <v>43907</v>
      </c>
      <c r="D429" s="30" t="s">
        <v>19</v>
      </c>
      <c r="E429" s="30" t="s">
        <v>574</v>
      </c>
      <c r="F429" s="42" t="str">
        <f>HYPERLINK("https://www.governor.nh.gov/news-media/emergency-orders/documents/emergency-order-4.pdf","Executive Oder 2020-04")</f>
        <v>Executive Oder 2020-04</v>
      </c>
      <c r="G429" s="38" t="s">
        <v>10</v>
      </c>
      <c r="H429" s="52"/>
      <c r="I429" s="52"/>
      <c r="J429" s="52"/>
      <c r="K429" s="52"/>
      <c r="L429" s="52"/>
      <c r="M429" s="52"/>
      <c r="N429" s="52"/>
      <c r="O429" s="52"/>
      <c r="P429" s="52"/>
      <c r="Q429" s="52"/>
      <c r="R429" s="52"/>
      <c r="S429" s="52"/>
      <c r="T429" s="52"/>
      <c r="U429" s="52"/>
      <c r="V429" s="52"/>
      <c r="W429" s="52"/>
      <c r="X429" s="52"/>
      <c r="Y429" s="52"/>
      <c r="Z429" s="52"/>
    </row>
    <row r="430" spans="1:26" ht="75">
      <c r="A430" s="30" t="s">
        <v>575</v>
      </c>
      <c r="B430" s="38" t="s">
        <v>1456</v>
      </c>
      <c r="C430" s="51">
        <v>44105</v>
      </c>
      <c r="D430" s="30" t="s">
        <v>13</v>
      </c>
      <c r="E430" s="30" t="s">
        <v>1457</v>
      </c>
      <c r="F430" s="43" t="s">
        <v>1458</v>
      </c>
      <c r="G430" s="38" t="s">
        <v>10</v>
      </c>
      <c r="H430" s="52"/>
      <c r="I430" s="52"/>
      <c r="J430" s="52"/>
      <c r="K430" s="52"/>
      <c r="L430" s="52"/>
      <c r="M430" s="52"/>
      <c r="N430" s="52"/>
      <c r="O430" s="52"/>
      <c r="P430" s="52"/>
      <c r="Q430" s="52"/>
      <c r="R430" s="52"/>
      <c r="S430" s="52"/>
      <c r="T430" s="52"/>
      <c r="U430" s="52"/>
      <c r="V430" s="52"/>
      <c r="W430" s="52"/>
      <c r="X430" s="52"/>
      <c r="Y430" s="52"/>
      <c r="Z430" s="52"/>
    </row>
    <row r="431" spans="1:26" ht="45">
      <c r="A431" s="30" t="s">
        <v>575</v>
      </c>
      <c r="B431" s="38" t="s">
        <v>1459</v>
      </c>
      <c r="C431" s="51">
        <v>44111</v>
      </c>
      <c r="D431" s="30" t="s">
        <v>13</v>
      </c>
      <c r="E431" s="30" t="s">
        <v>1460</v>
      </c>
      <c r="F431" s="43" t="s">
        <v>1461</v>
      </c>
      <c r="G431" s="38" t="s">
        <v>10</v>
      </c>
      <c r="H431" s="52"/>
      <c r="I431" s="52"/>
      <c r="J431" s="52"/>
      <c r="K431" s="52"/>
      <c r="L431" s="52"/>
      <c r="M431" s="52"/>
      <c r="N431" s="52"/>
      <c r="O431" s="52"/>
      <c r="P431" s="52"/>
      <c r="Q431" s="52"/>
      <c r="R431" s="52"/>
      <c r="S431" s="52"/>
      <c r="T431" s="52"/>
      <c r="U431" s="52"/>
      <c r="V431" s="52"/>
      <c r="W431" s="52"/>
      <c r="X431" s="52"/>
      <c r="Y431" s="52"/>
      <c r="Z431" s="52"/>
    </row>
    <row r="432" spans="1:26" ht="60">
      <c r="A432" s="30" t="s">
        <v>575</v>
      </c>
      <c r="B432" s="38" t="s">
        <v>576</v>
      </c>
      <c r="C432" s="51">
        <v>43957</v>
      </c>
      <c r="D432" s="30" t="s">
        <v>13</v>
      </c>
      <c r="E432" s="30" t="s">
        <v>577</v>
      </c>
      <c r="F432" s="43" t="s">
        <v>68</v>
      </c>
      <c r="G432" s="38" t="s">
        <v>10</v>
      </c>
      <c r="H432" s="52"/>
      <c r="I432" s="52"/>
      <c r="J432" s="52"/>
      <c r="K432" s="52"/>
      <c r="L432" s="52"/>
      <c r="M432" s="52"/>
      <c r="N432" s="52"/>
      <c r="O432" s="52"/>
      <c r="P432" s="52"/>
      <c r="Q432" s="52"/>
      <c r="R432" s="52"/>
      <c r="S432" s="52"/>
      <c r="T432" s="52"/>
      <c r="U432" s="52"/>
      <c r="V432" s="52"/>
      <c r="W432" s="52"/>
      <c r="X432" s="52"/>
      <c r="Y432" s="52"/>
      <c r="Z432" s="52"/>
    </row>
    <row r="433" spans="1:26" ht="35.25" customHeight="1">
      <c r="A433" s="30" t="s">
        <v>575</v>
      </c>
      <c r="B433" s="38" t="s">
        <v>578</v>
      </c>
      <c r="C433" s="51">
        <v>43964</v>
      </c>
      <c r="D433" s="30" t="s">
        <v>19</v>
      </c>
      <c r="E433" s="30" t="s">
        <v>1024</v>
      </c>
      <c r="F433" s="43" t="s">
        <v>1023</v>
      </c>
      <c r="G433" s="38" t="s">
        <v>10</v>
      </c>
      <c r="H433" s="52"/>
      <c r="I433" s="52"/>
      <c r="J433" s="52"/>
      <c r="K433" s="52"/>
      <c r="L433" s="52"/>
      <c r="M433" s="52"/>
      <c r="N433" s="52"/>
      <c r="O433" s="52"/>
      <c r="P433" s="52"/>
      <c r="Q433" s="52"/>
      <c r="R433" s="52"/>
      <c r="S433" s="52"/>
      <c r="T433" s="52"/>
      <c r="U433" s="52"/>
      <c r="V433" s="52"/>
      <c r="W433" s="52"/>
      <c r="X433" s="52"/>
      <c r="Y433" s="52"/>
      <c r="Z433" s="52"/>
    </row>
    <row r="434" spans="1:26" ht="45">
      <c r="A434" s="30" t="s">
        <v>575</v>
      </c>
      <c r="B434" s="38" t="s">
        <v>578</v>
      </c>
      <c r="C434" s="51">
        <v>43965</v>
      </c>
      <c r="D434" s="30" t="s">
        <v>13</v>
      </c>
      <c r="E434" s="30" t="s">
        <v>579</v>
      </c>
      <c r="F434" s="43" t="s">
        <v>580</v>
      </c>
      <c r="G434" s="38" t="s">
        <v>10</v>
      </c>
      <c r="H434" s="52"/>
      <c r="I434" s="52"/>
      <c r="J434" s="52"/>
      <c r="K434" s="52"/>
      <c r="L434" s="52"/>
      <c r="M434" s="52"/>
      <c r="N434" s="52"/>
      <c r="O434" s="52"/>
      <c r="P434" s="52"/>
      <c r="Q434" s="52"/>
      <c r="R434" s="52"/>
      <c r="S434" s="52"/>
      <c r="T434" s="52"/>
      <c r="U434" s="52"/>
      <c r="V434" s="52"/>
      <c r="W434" s="52"/>
      <c r="X434" s="52"/>
      <c r="Y434" s="52"/>
      <c r="Z434" s="52"/>
    </row>
    <row r="435" spans="1:26" ht="45">
      <c r="A435" s="30" t="s">
        <v>575</v>
      </c>
      <c r="B435" s="38" t="s">
        <v>581</v>
      </c>
      <c r="C435" s="51">
        <v>43969</v>
      </c>
      <c r="D435" s="30" t="s">
        <v>13</v>
      </c>
      <c r="E435" s="30" t="s">
        <v>582</v>
      </c>
      <c r="F435" s="43" t="s">
        <v>583</v>
      </c>
      <c r="G435" s="38" t="s">
        <v>10</v>
      </c>
      <c r="H435" s="52"/>
      <c r="I435" s="52"/>
      <c r="J435" s="52"/>
      <c r="K435" s="52"/>
      <c r="L435" s="52"/>
      <c r="M435" s="52"/>
      <c r="N435" s="52"/>
      <c r="O435" s="52"/>
      <c r="P435" s="52"/>
      <c r="Q435" s="52"/>
      <c r="R435" s="52"/>
      <c r="S435" s="52"/>
      <c r="T435" s="52"/>
      <c r="U435" s="52"/>
      <c r="V435" s="52"/>
      <c r="W435" s="52"/>
      <c r="X435" s="52"/>
      <c r="Y435" s="52"/>
      <c r="Z435" s="52"/>
    </row>
    <row r="436" spans="1:26" ht="45">
      <c r="A436" s="30" t="s">
        <v>575</v>
      </c>
      <c r="B436" s="38" t="s">
        <v>1462</v>
      </c>
      <c r="C436" s="114">
        <v>44147</v>
      </c>
      <c r="D436" s="30" t="s">
        <v>13</v>
      </c>
      <c r="E436" s="30" t="s">
        <v>1464</v>
      </c>
      <c r="F436" s="43" t="s">
        <v>1463</v>
      </c>
      <c r="G436" s="38" t="s">
        <v>10</v>
      </c>
      <c r="H436" s="52"/>
      <c r="I436" s="52"/>
      <c r="J436" s="52"/>
      <c r="K436" s="52"/>
      <c r="L436" s="52"/>
      <c r="M436" s="52"/>
      <c r="N436" s="52"/>
      <c r="O436" s="52"/>
      <c r="P436" s="52"/>
      <c r="Q436" s="52"/>
      <c r="R436" s="52"/>
      <c r="S436" s="52"/>
      <c r="T436" s="52"/>
      <c r="U436" s="52"/>
      <c r="V436" s="52"/>
      <c r="W436" s="52"/>
      <c r="X436" s="52"/>
      <c r="Y436" s="52"/>
      <c r="Z436" s="52"/>
    </row>
    <row r="437" spans="1:26" ht="60">
      <c r="A437" s="30" t="s">
        <v>575</v>
      </c>
      <c r="B437" s="38" t="s">
        <v>18</v>
      </c>
      <c r="C437" s="51">
        <v>43986</v>
      </c>
      <c r="D437" s="30" t="s">
        <v>247</v>
      </c>
      <c r="E437" s="30" t="s">
        <v>1118</v>
      </c>
      <c r="F437" s="43" t="s">
        <v>1119</v>
      </c>
      <c r="G437" s="38" t="s">
        <v>10</v>
      </c>
      <c r="H437" s="52"/>
      <c r="I437" s="52"/>
      <c r="J437" s="52"/>
      <c r="K437" s="52"/>
      <c r="L437" s="52"/>
      <c r="M437" s="52"/>
      <c r="N437" s="52"/>
      <c r="O437" s="52"/>
      <c r="P437" s="52"/>
      <c r="Q437" s="52"/>
      <c r="R437" s="52"/>
      <c r="S437" s="52"/>
      <c r="T437" s="52"/>
      <c r="U437" s="52"/>
      <c r="V437" s="52"/>
      <c r="W437" s="52"/>
      <c r="X437" s="52"/>
      <c r="Y437" s="52"/>
      <c r="Z437" s="52"/>
    </row>
    <row r="438" spans="1:26" ht="90">
      <c r="A438" s="30" t="s">
        <v>575</v>
      </c>
      <c r="B438" s="38" t="s">
        <v>18</v>
      </c>
      <c r="C438" s="51">
        <v>44087</v>
      </c>
      <c r="D438" s="30" t="s">
        <v>1371</v>
      </c>
      <c r="E438" s="30" t="s">
        <v>1453</v>
      </c>
      <c r="F438" s="43" t="s">
        <v>1372</v>
      </c>
      <c r="G438" s="38" t="s">
        <v>10</v>
      </c>
      <c r="H438" s="52"/>
      <c r="I438" s="52"/>
      <c r="J438" s="52"/>
      <c r="K438" s="52"/>
      <c r="L438" s="52"/>
      <c r="M438" s="52"/>
      <c r="N438" s="52"/>
      <c r="O438" s="52"/>
      <c r="P438" s="52"/>
      <c r="Q438" s="52"/>
      <c r="R438" s="52"/>
      <c r="S438" s="52"/>
      <c r="T438" s="52"/>
      <c r="U438" s="52"/>
      <c r="V438" s="52"/>
      <c r="W438" s="52"/>
      <c r="X438" s="52"/>
      <c r="Y438" s="52"/>
      <c r="Z438" s="52"/>
    </row>
    <row r="439" spans="1:26" ht="75">
      <c r="A439" s="30" t="s">
        <v>575</v>
      </c>
      <c r="B439" s="38" t="s">
        <v>18</v>
      </c>
      <c r="C439" s="51">
        <v>43909</v>
      </c>
      <c r="D439" s="30" t="s">
        <v>19</v>
      </c>
      <c r="E439" s="30" t="s">
        <v>584</v>
      </c>
      <c r="F439" s="42" t="str">
        <f>HYPERLINK("https://nj.gov/infobank/eo/056murphy/pdf/EO-106.pdf","Executive Oder No. 106")</f>
        <v>Executive Oder No. 106</v>
      </c>
      <c r="G439" s="38" t="s">
        <v>10</v>
      </c>
      <c r="H439" s="52"/>
      <c r="I439" s="52"/>
      <c r="J439" s="52"/>
      <c r="K439" s="52"/>
      <c r="L439" s="52"/>
      <c r="M439" s="52"/>
      <c r="N439" s="52"/>
      <c r="O439" s="52"/>
      <c r="P439" s="52"/>
      <c r="Q439" s="52"/>
      <c r="R439" s="52"/>
      <c r="S439" s="52"/>
      <c r="T439" s="52"/>
      <c r="U439" s="52"/>
      <c r="V439" s="52"/>
      <c r="W439" s="52"/>
      <c r="X439" s="52"/>
      <c r="Y439" s="52"/>
      <c r="Z439" s="52"/>
    </row>
    <row r="440" spans="1:26" ht="47.25" customHeight="1">
      <c r="A440" s="30" t="s">
        <v>575</v>
      </c>
      <c r="B440" s="38" t="s">
        <v>18</v>
      </c>
      <c r="C440" s="51">
        <v>43966</v>
      </c>
      <c r="D440" s="30" t="s">
        <v>13</v>
      </c>
      <c r="E440" s="30" t="s">
        <v>585</v>
      </c>
      <c r="F440" s="43" t="s">
        <v>586</v>
      </c>
      <c r="G440" s="38" t="s">
        <v>24</v>
      </c>
      <c r="H440" s="52"/>
      <c r="I440" s="52"/>
      <c r="J440" s="52"/>
      <c r="K440" s="52"/>
      <c r="L440" s="52"/>
      <c r="M440" s="52"/>
      <c r="N440" s="52"/>
      <c r="O440" s="52"/>
      <c r="P440" s="52"/>
      <c r="Q440" s="52"/>
      <c r="R440" s="52"/>
      <c r="S440" s="52"/>
      <c r="T440" s="52"/>
      <c r="U440" s="52"/>
      <c r="V440" s="52"/>
      <c r="W440" s="52"/>
      <c r="X440" s="52"/>
      <c r="Y440" s="52"/>
      <c r="Z440" s="52"/>
    </row>
    <row r="441" spans="1:26" ht="47.25" customHeight="1">
      <c r="A441" s="30" t="s">
        <v>575</v>
      </c>
      <c r="B441" s="38" t="s">
        <v>18</v>
      </c>
      <c r="C441" s="51">
        <v>44118</v>
      </c>
      <c r="D441" s="30" t="s">
        <v>13</v>
      </c>
      <c r="E441" s="30" t="s">
        <v>1454</v>
      </c>
      <c r="F441" s="43" t="s">
        <v>1455</v>
      </c>
      <c r="G441" s="38" t="s">
        <v>10</v>
      </c>
      <c r="H441" s="52"/>
      <c r="I441" s="52"/>
      <c r="J441" s="52"/>
      <c r="K441" s="52"/>
      <c r="L441" s="52"/>
      <c r="M441" s="52"/>
      <c r="N441" s="52"/>
      <c r="O441" s="52"/>
      <c r="P441" s="52"/>
      <c r="Q441" s="52"/>
      <c r="R441" s="52"/>
      <c r="S441" s="52"/>
      <c r="T441" s="52"/>
      <c r="U441" s="52"/>
      <c r="V441" s="52"/>
      <c r="W441" s="52"/>
      <c r="X441" s="52"/>
      <c r="Y441" s="52"/>
      <c r="Z441" s="52"/>
    </row>
    <row r="442" spans="1:26" ht="60">
      <c r="A442" s="30" t="s">
        <v>575</v>
      </c>
      <c r="B442" s="38" t="s">
        <v>18</v>
      </c>
      <c r="C442" s="51">
        <v>43913</v>
      </c>
      <c r="D442" s="30" t="s">
        <v>8</v>
      </c>
      <c r="E442" s="30" t="s">
        <v>587</v>
      </c>
      <c r="F442" s="42" t="str">
        <f>HYPERLINK("https://www.app.com/story/news/2020/03/23/nj-coronavirus-up-1-000-inmates-released-jails/2897439001/","Coronavirus in NJ: Up to 1,000 inmates to be released from jails")</f>
        <v>Coronavirus in NJ: Up to 1,000 inmates to be released from jails</v>
      </c>
      <c r="G442" s="38" t="s">
        <v>10</v>
      </c>
      <c r="H442" s="52"/>
      <c r="I442" s="52"/>
      <c r="J442" s="52"/>
      <c r="K442" s="52"/>
      <c r="L442" s="52"/>
      <c r="M442" s="52"/>
      <c r="N442" s="52"/>
      <c r="O442" s="52"/>
      <c r="P442" s="52"/>
      <c r="Q442" s="52"/>
      <c r="R442" s="52"/>
      <c r="S442" s="52"/>
      <c r="T442" s="52"/>
      <c r="U442" s="52"/>
      <c r="V442" s="52"/>
      <c r="W442" s="52"/>
      <c r="X442" s="52"/>
      <c r="Y442" s="52"/>
      <c r="Z442" s="52"/>
    </row>
    <row r="443" spans="1:26" ht="45">
      <c r="A443" s="30" t="s">
        <v>575</v>
      </c>
      <c r="B443" s="38" t="s">
        <v>18</v>
      </c>
      <c r="C443" s="51">
        <v>43914</v>
      </c>
      <c r="D443" s="30" t="s">
        <v>8</v>
      </c>
      <c r="E443" s="30" t="s">
        <v>588</v>
      </c>
      <c r="F443" s="42" t="str">
        <f>HYPERLINK("https://www.njleg.state.nj.us/bills/BillView.asp?BillNumber=S2331","S2331 Assists inmates released from incarceration in obtaining necessary reentry benefits")</f>
        <v>S2331 Assists inmates released from incarceration in obtaining necessary reentry benefits</v>
      </c>
      <c r="G443" s="38" t="s">
        <v>10</v>
      </c>
      <c r="H443" s="52"/>
      <c r="I443" s="52"/>
      <c r="J443" s="52"/>
      <c r="K443" s="52"/>
      <c r="L443" s="52"/>
      <c r="M443" s="52"/>
      <c r="N443" s="52"/>
      <c r="O443" s="52"/>
      <c r="P443" s="52"/>
      <c r="Q443" s="52"/>
      <c r="R443" s="52"/>
      <c r="S443" s="52"/>
      <c r="T443" s="52"/>
      <c r="U443" s="52"/>
      <c r="V443" s="52"/>
      <c r="W443" s="52"/>
      <c r="X443" s="52"/>
      <c r="Y443" s="52"/>
      <c r="Z443" s="52"/>
    </row>
    <row r="444" spans="1:26">
      <c r="A444" s="30" t="s">
        <v>575</v>
      </c>
      <c r="B444" s="38" t="s">
        <v>18</v>
      </c>
      <c r="C444" s="51">
        <v>43943</v>
      </c>
      <c r="D444" s="30" t="s">
        <v>154</v>
      </c>
      <c r="E444" s="30" t="s">
        <v>589</v>
      </c>
      <c r="F444" s="42" t="str">
        <f>HYPERLINK("https://www.njleg.state.nj.us/bills/BillView.asp?BillNumber=S2357","SB 2357")</f>
        <v>SB 2357</v>
      </c>
      <c r="G444" s="38" t="s">
        <v>24</v>
      </c>
      <c r="H444" s="52"/>
      <c r="I444" s="52"/>
      <c r="J444" s="52"/>
      <c r="K444" s="52"/>
      <c r="L444" s="52"/>
      <c r="M444" s="52"/>
      <c r="N444" s="52"/>
      <c r="O444" s="52"/>
      <c r="P444" s="52"/>
      <c r="Q444" s="52"/>
      <c r="R444" s="52"/>
      <c r="S444" s="52"/>
      <c r="T444" s="52"/>
      <c r="U444" s="52"/>
      <c r="V444" s="52"/>
      <c r="W444" s="52"/>
      <c r="X444" s="52"/>
      <c r="Y444" s="52"/>
      <c r="Z444" s="52"/>
    </row>
    <row r="445" spans="1:26" ht="135" customHeight="1">
      <c r="A445" s="30" t="s">
        <v>575</v>
      </c>
      <c r="B445" s="38" t="s">
        <v>18</v>
      </c>
      <c r="C445" s="51">
        <v>44018</v>
      </c>
      <c r="D445" s="30" t="s">
        <v>154</v>
      </c>
      <c r="E445" s="30" t="s">
        <v>1265</v>
      </c>
      <c r="F445" s="43" t="s">
        <v>1266</v>
      </c>
      <c r="G445" s="38" t="s">
        <v>1124</v>
      </c>
      <c r="H445" s="52"/>
      <c r="I445" s="52"/>
      <c r="J445" s="52"/>
      <c r="K445" s="52"/>
      <c r="L445" s="52"/>
      <c r="M445" s="52"/>
      <c r="N445" s="52"/>
      <c r="O445" s="52"/>
      <c r="P445" s="52"/>
      <c r="Q445" s="52"/>
      <c r="R445" s="52"/>
      <c r="S445" s="52"/>
      <c r="T445" s="52"/>
      <c r="U445" s="52"/>
      <c r="V445" s="52"/>
      <c r="W445" s="52"/>
      <c r="X445" s="52"/>
      <c r="Y445" s="52"/>
      <c r="Z445" s="52"/>
    </row>
    <row r="446" spans="1:26" ht="93.75" customHeight="1">
      <c r="A446" s="30" t="s">
        <v>575</v>
      </c>
      <c r="B446" s="38" t="s">
        <v>18</v>
      </c>
      <c r="C446" s="51">
        <v>44056</v>
      </c>
      <c r="D446" s="30" t="s">
        <v>154</v>
      </c>
      <c r="E446" s="30" t="s">
        <v>1249</v>
      </c>
      <c r="F446" s="43" t="s">
        <v>1250</v>
      </c>
      <c r="G446" s="38" t="s">
        <v>1124</v>
      </c>
      <c r="H446" s="52"/>
      <c r="I446" s="52"/>
      <c r="J446" s="52"/>
      <c r="K446" s="52"/>
      <c r="L446" s="52"/>
      <c r="M446" s="52"/>
      <c r="N446" s="52"/>
      <c r="O446" s="52"/>
      <c r="P446" s="52"/>
      <c r="Q446" s="52"/>
      <c r="R446" s="52"/>
      <c r="S446" s="52"/>
      <c r="T446" s="52"/>
      <c r="U446" s="52"/>
      <c r="V446" s="52"/>
      <c r="W446" s="52"/>
      <c r="X446" s="52"/>
      <c r="Y446" s="52"/>
      <c r="Z446" s="52"/>
    </row>
    <row r="447" spans="1:26" ht="30">
      <c r="A447" s="30" t="s">
        <v>593</v>
      </c>
      <c r="B447" s="38" t="s">
        <v>594</v>
      </c>
      <c r="C447" s="51">
        <v>43909</v>
      </c>
      <c r="D447" s="30" t="s">
        <v>19</v>
      </c>
      <c r="E447" s="30" t="s">
        <v>595</v>
      </c>
      <c r="F447" s="42" t="str">
        <f>HYPERLINK("https://www.kob.com/coronavirus/city-of-albuquerque-working-to-protect-renters-from-eviction/5679002/","City of Albuquerque working to protect renters from eviction")</f>
        <v>City of Albuquerque working to protect renters from eviction</v>
      </c>
      <c r="G447" s="38" t="s">
        <v>10</v>
      </c>
      <c r="H447" s="52"/>
      <c r="I447" s="52"/>
      <c r="J447" s="52"/>
      <c r="K447" s="52"/>
      <c r="L447" s="52"/>
      <c r="M447" s="52"/>
      <c r="N447" s="52"/>
      <c r="O447" s="52"/>
      <c r="P447" s="52"/>
      <c r="Q447" s="52"/>
      <c r="R447" s="52"/>
      <c r="S447" s="52"/>
      <c r="T447" s="52"/>
      <c r="U447" s="52"/>
      <c r="V447" s="52"/>
      <c r="W447" s="52"/>
      <c r="X447" s="52"/>
      <c r="Y447" s="52"/>
      <c r="Z447" s="52"/>
    </row>
    <row r="448" spans="1:26" ht="30">
      <c r="A448" s="30" t="s">
        <v>593</v>
      </c>
      <c r="B448" s="38" t="s">
        <v>594</v>
      </c>
      <c r="C448" s="51">
        <v>43934</v>
      </c>
      <c r="D448" s="30" t="s">
        <v>40</v>
      </c>
      <c r="E448" s="30" t="s">
        <v>596</v>
      </c>
      <c r="F448" s="42" t="str">
        <f>HYPERLINK("https://s3.amazonaws.com/fn-document-service/file-by-sha384/00318e74acb040e261621e0d31487231b6e1d2cadb3ddc44ca7920ebc0bdb28d173a7981205167348d2702b48bb4f710#page=2","City Council Agenda")</f>
        <v>City Council Agenda</v>
      </c>
      <c r="G448" s="38" t="s">
        <v>10</v>
      </c>
      <c r="H448" s="52"/>
      <c r="I448" s="52"/>
      <c r="J448" s="52"/>
      <c r="K448" s="52"/>
      <c r="L448" s="52"/>
      <c r="M448" s="52"/>
      <c r="N448" s="52"/>
      <c r="O448" s="52"/>
      <c r="P448" s="52"/>
      <c r="Q448" s="52"/>
      <c r="R448" s="52"/>
      <c r="S448" s="52"/>
      <c r="T448" s="52"/>
      <c r="U448" s="52"/>
      <c r="V448" s="52"/>
      <c r="W448" s="52"/>
      <c r="X448" s="52"/>
      <c r="Y448" s="52"/>
      <c r="Z448" s="52"/>
    </row>
    <row r="449" spans="1:26" ht="45">
      <c r="A449" s="30" t="s">
        <v>593</v>
      </c>
      <c r="B449" s="38" t="s">
        <v>597</v>
      </c>
      <c r="C449" s="51">
        <v>43909</v>
      </c>
      <c r="D449" s="30" t="s">
        <v>19</v>
      </c>
      <c r="E449" s="30" t="s">
        <v>598</v>
      </c>
      <c r="F449" s="42" t="str">
        <f>HYPERLINK("https://www.sfreporter.com/news/2020/03/18/santa-fe-mayor-announces-eviction-freeze/","Santa Fe Mayor Announces Eviction Freeze")</f>
        <v>Santa Fe Mayor Announces Eviction Freeze</v>
      </c>
      <c r="G449" s="38" t="s">
        <v>10</v>
      </c>
      <c r="H449" s="52"/>
      <c r="I449" s="52"/>
      <c r="J449" s="52"/>
      <c r="K449" s="52"/>
      <c r="L449" s="52"/>
      <c r="M449" s="52"/>
      <c r="N449" s="52"/>
      <c r="O449" s="52"/>
      <c r="P449" s="52"/>
      <c r="Q449" s="52"/>
      <c r="R449" s="52"/>
      <c r="S449" s="52"/>
      <c r="T449" s="52"/>
      <c r="U449" s="52"/>
      <c r="V449" s="52"/>
      <c r="W449" s="52"/>
      <c r="X449" s="52"/>
      <c r="Y449" s="52"/>
      <c r="Z449" s="52"/>
    </row>
    <row r="450" spans="1:26" ht="120">
      <c r="A450" s="30" t="s">
        <v>593</v>
      </c>
      <c r="B450" s="38" t="s">
        <v>18</v>
      </c>
      <c r="C450" s="51">
        <v>43969</v>
      </c>
      <c r="D450" s="30" t="s">
        <v>13</v>
      </c>
      <c r="E450" s="30" t="s">
        <v>599</v>
      </c>
      <c r="F450" s="43" t="s">
        <v>600</v>
      </c>
      <c r="G450" s="38" t="s">
        <v>10</v>
      </c>
      <c r="H450" s="52"/>
      <c r="I450" s="52"/>
      <c r="J450" s="52"/>
      <c r="K450" s="52"/>
      <c r="L450" s="52"/>
      <c r="M450" s="52"/>
      <c r="N450" s="52"/>
      <c r="O450" s="52"/>
      <c r="P450" s="52"/>
      <c r="Q450" s="52"/>
      <c r="R450" s="52"/>
      <c r="S450" s="52"/>
      <c r="T450" s="52"/>
      <c r="U450" s="52"/>
      <c r="V450" s="52"/>
      <c r="W450" s="52"/>
      <c r="X450" s="52"/>
      <c r="Y450" s="52"/>
      <c r="Z450" s="52"/>
    </row>
    <row r="451" spans="1:26" ht="44.25" customHeight="1">
      <c r="A451" s="30" t="s">
        <v>593</v>
      </c>
      <c r="B451" s="38" t="s">
        <v>18</v>
      </c>
      <c r="C451" s="51">
        <v>43927</v>
      </c>
      <c r="D451" s="30" t="s">
        <v>8</v>
      </c>
      <c r="E451" s="30" t="s">
        <v>601</v>
      </c>
      <c r="F451" s="43" t="s">
        <v>602</v>
      </c>
      <c r="G451" s="38" t="s">
        <v>10</v>
      </c>
      <c r="H451" s="52"/>
      <c r="I451" s="52"/>
      <c r="J451" s="52"/>
      <c r="K451" s="52"/>
      <c r="L451" s="52"/>
      <c r="M451" s="52"/>
      <c r="N451" s="52"/>
      <c r="O451" s="52"/>
      <c r="P451" s="52"/>
      <c r="Q451" s="52"/>
      <c r="R451" s="52"/>
      <c r="S451" s="52"/>
      <c r="T451" s="52"/>
      <c r="U451" s="52"/>
      <c r="V451" s="52"/>
      <c r="W451" s="52"/>
      <c r="X451" s="52"/>
      <c r="Y451" s="52"/>
      <c r="Z451" s="52"/>
    </row>
    <row r="452" spans="1:26" ht="44.25" customHeight="1">
      <c r="A452" s="30" t="s">
        <v>603</v>
      </c>
      <c r="B452" s="38" t="s">
        <v>1465</v>
      </c>
      <c r="C452" s="51">
        <v>44147</v>
      </c>
      <c r="D452" s="30" t="s">
        <v>13</v>
      </c>
      <c r="E452" s="30" t="s">
        <v>1466</v>
      </c>
      <c r="F452" s="43" t="s">
        <v>1467</v>
      </c>
      <c r="G452" s="38" t="s">
        <v>10</v>
      </c>
      <c r="H452" s="52"/>
      <c r="I452" s="52"/>
      <c r="J452" s="52"/>
      <c r="K452" s="52"/>
      <c r="L452" s="52"/>
      <c r="M452" s="52"/>
      <c r="N452" s="52"/>
      <c r="O452" s="52"/>
      <c r="P452" s="52"/>
      <c r="Q452" s="52"/>
      <c r="R452" s="52"/>
      <c r="S452" s="52"/>
      <c r="T452" s="52"/>
      <c r="U452" s="52"/>
      <c r="V452" s="52"/>
      <c r="W452" s="52"/>
      <c r="X452" s="52"/>
      <c r="Y452" s="52"/>
      <c r="Z452" s="52"/>
    </row>
    <row r="453" spans="1:26" ht="44.25" customHeight="1">
      <c r="A453" s="30" t="s">
        <v>603</v>
      </c>
      <c r="B453" s="38" t="s">
        <v>1468</v>
      </c>
      <c r="C453" s="51">
        <v>44147</v>
      </c>
      <c r="D453" s="30" t="s">
        <v>13</v>
      </c>
      <c r="E453" s="30" t="s">
        <v>1469</v>
      </c>
      <c r="F453" s="43" t="s">
        <v>1470</v>
      </c>
      <c r="G453" s="38" t="s">
        <v>10</v>
      </c>
      <c r="H453" s="52"/>
      <c r="I453" s="52"/>
      <c r="J453" s="52"/>
      <c r="K453" s="52"/>
      <c r="L453" s="52"/>
      <c r="M453" s="52"/>
      <c r="N453" s="52"/>
      <c r="O453" s="52"/>
      <c r="P453" s="52"/>
      <c r="Q453" s="52"/>
      <c r="R453" s="52"/>
      <c r="S453" s="52"/>
      <c r="T453" s="52"/>
      <c r="U453" s="52"/>
      <c r="V453" s="52"/>
      <c r="W453" s="52"/>
      <c r="X453" s="52"/>
      <c r="Y453" s="52"/>
      <c r="Z453" s="52"/>
    </row>
    <row r="454" spans="1:26" ht="58.5" customHeight="1">
      <c r="A454" s="30" t="s">
        <v>603</v>
      </c>
      <c r="B454" s="38" t="s">
        <v>604</v>
      </c>
      <c r="C454" s="51">
        <v>43917</v>
      </c>
      <c r="D454" s="30" t="s">
        <v>40</v>
      </c>
      <c r="E454" s="30" t="s">
        <v>605</v>
      </c>
      <c r="F454" s="42" t="str">
        <f>HYPERLINK("https://www1.nyc.gov/site/tlc/drivers/tlc-driver-food-delivery.page","TLC Driver Food Delivery")</f>
        <v>TLC Driver Food Delivery</v>
      </c>
      <c r="G454" s="38" t="s">
        <v>10</v>
      </c>
      <c r="H454" s="52"/>
      <c r="I454" s="52"/>
      <c r="J454" s="52"/>
      <c r="K454" s="52"/>
      <c r="L454" s="52"/>
      <c r="M454" s="52"/>
      <c r="N454" s="52"/>
      <c r="O454" s="52"/>
      <c r="P454" s="52"/>
      <c r="Q454" s="52"/>
      <c r="R454" s="52"/>
      <c r="S454" s="52"/>
      <c r="T454" s="52"/>
      <c r="U454" s="52"/>
      <c r="V454" s="52"/>
      <c r="W454" s="52"/>
      <c r="X454" s="52"/>
      <c r="Y454" s="52"/>
      <c r="Z454" s="52"/>
    </row>
    <row r="455" spans="1:26" ht="45">
      <c r="A455" s="30" t="s">
        <v>603</v>
      </c>
      <c r="B455" s="38" t="s">
        <v>604</v>
      </c>
      <c r="C455" s="51">
        <v>43917</v>
      </c>
      <c r="D455" s="30" t="s">
        <v>13</v>
      </c>
      <c r="E455" s="30" t="s">
        <v>606</v>
      </c>
      <c r="F455" s="42" t="str">
        <f>HYPERLINK("https://www1.nyc.gov/office-of-the-mayor/news/197-20/mayor-de-blasio-calls-rent-freeze-covid-19-crisis","Mayor de Blasio Calls for Rent Freeze Amid COVID-19 Crisis")</f>
        <v>Mayor de Blasio Calls for Rent Freeze Amid COVID-19 Crisis</v>
      </c>
      <c r="G455" s="38" t="s">
        <v>10</v>
      </c>
      <c r="H455" s="52"/>
      <c r="I455" s="52"/>
      <c r="J455" s="52"/>
      <c r="K455" s="52"/>
      <c r="L455" s="52"/>
      <c r="M455" s="52"/>
      <c r="N455" s="52"/>
      <c r="O455" s="52"/>
      <c r="P455" s="52"/>
      <c r="Q455" s="52"/>
      <c r="R455" s="52"/>
      <c r="S455" s="52"/>
      <c r="T455" s="52"/>
      <c r="U455" s="52"/>
      <c r="V455" s="52"/>
      <c r="W455" s="52"/>
      <c r="X455" s="52"/>
      <c r="Y455" s="52"/>
      <c r="Z455" s="52"/>
    </row>
    <row r="456" spans="1:26" ht="30">
      <c r="A456" s="30" t="s">
        <v>603</v>
      </c>
      <c r="B456" s="38" t="s">
        <v>604</v>
      </c>
      <c r="C456" s="51">
        <v>43917</v>
      </c>
      <c r="D456" s="30" t="s">
        <v>8</v>
      </c>
      <c r="E456" s="30" t="s">
        <v>607</v>
      </c>
      <c r="F456" s="42" t="str">
        <f>HYPERLINK("https://www1.nyc.gov/office-of-the-mayor/news/197-20/mayor-de-blasio-calls-rent-freeze-covid-19-crisis","Mayor de Blasio Calls for Rent Freeze Amid COVID-19 Crisis")</f>
        <v>Mayor de Blasio Calls for Rent Freeze Amid COVID-19 Crisis</v>
      </c>
      <c r="G456" s="38" t="s">
        <v>10</v>
      </c>
      <c r="H456" s="52"/>
      <c r="I456" s="52"/>
      <c r="J456" s="52"/>
      <c r="K456" s="52"/>
      <c r="L456" s="52"/>
      <c r="M456" s="52"/>
      <c r="N456" s="52"/>
      <c r="O456" s="52"/>
      <c r="P456" s="52"/>
      <c r="Q456" s="52"/>
      <c r="R456" s="52"/>
      <c r="S456" s="52"/>
      <c r="T456" s="52"/>
      <c r="U456" s="52"/>
      <c r="V456" s="52"/>
      <c r="W456" s="52"/>
      <c r="X456" s="52"/>
      <c r="Y456" s="52"/>
      <c r="Z456" s="52"/>
    </row>
    <row r="457" spans="1:26" ht="30">
      <c r="A457" s="30" t="s">
        <v>603</v>
      </c>
      <c r="B457" s="38" t="s">
        <v>604</v>
      </c>
      <c r="C457" s="51">
        <v>43937</v>
      </c>
      <c r="D457" s="30" t="s">
        <v>8</v>
      </c>
      <c r="E457" s="30" t="s">
        <v>608</v>
      </c>
      <c r="F457" s="42" t="str">
        <f>HYPERLINK("http://criminaljustice.cityofnewyork.us/wp-content/uploads/2020/04/MOCJ-COVID-19-Jail-Reduction.pdf","New York City jail population reduction in the time of COVID-19 ")</f>
        <v xml:space="preserve">New York City jail population reduction in the time of COVID-19 </v>
      </c>
      <c r="G457" s="38" t="s">
        <v>10</v>
      </c>
      <c r="H457" s="52"/>
      <c r="I457" s="52"/>
      <c r="J457" s="52"/>
      <c r="K457" s="52"/>
      <c r="L457" s="52"/>
      <c r="M457" s="52"/>
      <c r="N457" s="52"/>
      <c r="O457" s="52"/>
      <c r="P457" s="52"/>
      <c r="Q457" s="52"/>
      <c r="R457" s="52"/>
      <c r="S457" s="52"/>
      <c r="T457" s="52"/>
      <c r="U457" s="52"/>
      <c r="V457" s="52"/>
      <c r="W457" s="52"/>
      <c r="X457" s="52"/>
      <c r="Y457" s="52"/>
      <c r="Z457" s="52"/>
    </row>
    <row r="458" spans="1:26" ht="75">
      <c r="A458" s="30" t="s">
        <v>603</v>
      </c>
      <c r="B458" s="38" t="s">
        <v>604</v>
      </c>
      <c r="C458" s="51">
        <v>43947</v>
      </c>
      <c r="D458" s="30" t="s">
        <v>154</v>
      </c>
      <c r="E458" s="30" t="s">
        <v>973</v>
      </c>
      <c r="F458" s="43" t="s">
        <v>972</v>
      </c>
      <c r="G458" s="38" t="s">
        <v>10</v>
      </c>
      <c r="H458" s="52"/>
      <c r="I458" s="52"/>
      <c r="J458" s="52"/>
      <c r="K458" s="52"/>
      <c r="L458" s="52"/>
      <c r="M458" s="52"/>
      <c r="N458" s="52"/>
      <c r="O458" s="52"/>
      <c r="P458" s="52"/>
      <c r="Q458" s="52"/>
      <c r="R458" s="52"/>
      <c r="S458" s="52"/>
      <c r="T458" s="52"/>
      <c r="U458" s="52"/>
      <c r="V458" s="52"/>
      <c r="W458" s="52"/>
      <c r="X458" s="52"/>
      <c r="Y458" s="52"/>
      <c r="Z458" s="52"/>
    </row>
    <row r="459" spans="1:26" ht="30">
      <c r="A459" s="30" t="s">
        <v>603</v>
      </c>
      <c r="B459" s="38" t="s">
        <v>18</v>
      </c>
      <c r="C459" s="51">
        <v>43934</v>
      </c>
      <c r="D459" s="30" t="s">
        <v>247</v>
      </c>
      <c r="E459" s="30" t="s">
        <v>609</v>
      </c>
      <c r="F459" s="42" t="s">
        <v>610</v>
      </c>
      <c r="G459" s="38" t="s">
        <v>17</v>
      </c>
      <c r="H459" s="52"/>
      <c r="I459" s="52"/>
      <c r="J459" s="52"/>
      <c r="K459" s="52"/>
      <c r="L459" s="52"/>
      <c r="M459" s="52"/>
      <c r="N459" s="52"/>
      <c r="O459" s="52"/>
      <c r="P459" s="52"/>
      <c r="Q459" s="52"/>
      <c r="R459" s="52"/>
      <c r="S459" s="52"/>
      <c r="T459" s="52"/>
      <c r="U459" s="52"/>
      <c r="V459" s="52"/>
      <c r="W459" s="52"/>
      <c r="X459" s="52"/>
      <c r="Y459" s="52"/>
      <c r="Z459" s="52"/>
    </row>
    <row r="460" spans="1:26" ht="75">
      <c r="A460" s="30" t="s">
        <v>603</v>
      </c>
      <c r="B460" s="38" t="s">
        <v>18</v>
      </c>
      <c r="C460" s="51">
        <v>43943</v>
      </c>
      <c r="D460" s="30" t="s">
        <v>247</v>
      </c>
      <c r="E460" s="30" t="s">
        <v>611</v>
      </c>
      <c r="F460" s="42" t="str">
        <f>HYPERLINK("https://nyassembly.gov/leg/?default_fld=&amp;leg_video=&amp;bn=A10328&amp;term=2019&amp;Summary=Y&amp;Actions=Y","AB 10328")</f>
        <v>AB 10328</v>
      </c>
      <c r="G460" s="38" t="s">
        <v>17</v>
      </c>
      <c r="H460" s="52"/>
      <c r="I460" s="52"/>
      <c r="J460" s="52"/>
      <c r="K460" s="52"/>
      <c r="L460" s="52"/>
      <c r="M460" s="52"/>
      <c r="N460" s="52"/>
      <c r="O460" s="52"/>
      <c r="P460" s="52"/>
      <c r="Q460" s="52"/>
      <c r="R460" s="52"/>
      <c r="S460" s="52"/>
      <c r="T460" s="52"/>
      <c r="U460" s="52"/>
      <c r="V460" s="52"/>
      <c r="W460" s="52"/>
      <c r="X460" s="52"/>
      <c r="Y460" s="52"/>
      <c r="Z460" s="52"/>
    </row>
    <row r="461" spans="1:26" ht="90">
      <c r="A461" s="30" t="s">
        <v>603</v>
      </c>
      <c r="B461" s="38" t="s">
        <v>18</v>
      </c>
      <c r="C461" s="51">
        <v>43917</v>
      </c>
      <c r="D461" s="30" t="s">
        <v>243</v>
      </c>
      <c r="E461" s="30" t="s">
        <v>612</v>
      </c>
      <c r="F461" s="42" t="str">
        <f>HYPERLINK("https://esd.ny.gov/guidance-executive-order-2026","Guidance for Determining Whether a Business Enterprise is Subject to a Workforce Reduction Under Recent Executive Orders")</f>
        <v>Guidance for Determining Whether a Business Enterprise is Subject to a Workforce Reduction Under Recent Executive Orders</v>
      </c>
      <c r="G461" s="38" t="s">
        <v>10</v>
      </c>
      <c r="H461" s="52"/>
      <c r="I461" s="52"/>
      <c r="J461" s="52"/>
      <c r="K461" s="52"/>
      <c r="L461" s="52"/>
      <c r="M461" s="52"/>
      <c r="N461" s="52"/>
      <c r="O461" s="52"/>
      <c r="P461" s="52"/>
      <c r="Q461" s="52"/>
      <c r="R461" s="52"/>
      <c r="S461" s="52"/>
      <c r="T461" s="52"/>
      <c r="U461" s="52"/>
      <c r="V461" s="52"/>
      <c r="W461" s="52"/>
      <c r="X461" s="52"/>
      <c r="Y461" s="52"/>
      <c r="Z461" s="52"/>
    </row>
    <row r="462" spans="1:26" ht="60">
      <c r="A462" s="30" t="s">
        <v>603</v>
      </c>
      <c r="B462" s="38" t="s">
        <v>18</v>
      </c>
      <c r="C462" s="51">
        <v>44063</v>
      </c>
      <c r="D462" s="30" t="s">
        <v>19</v>
      </c>
      <c r="E462" s="30" t="s">
        <v>1252</v>
      </c>
      <c r="F462" s="43" t="str">
        <f>HYPERLINK("https://s3.amazonaws.com/fn-document-service/file-by-sha384/f5728a1a01d46a27182b4504c82db846c258f9ba0cdf3d7c349b41fb385f625e32445cd98778d2cc6c85e1259c7c42d4","Continuing Temporary Suspension and Modification of Laws Relating to the Disaster Emergency")</f>
        <v>Continuing Temporary Suspension and Modification of Laws Relating to the Disaster Emergency</v>
      </c>
      <c r="G462" s="38" t="s">
        <v>10</v>
      </c>
      <c r="H462" s="52"/>
      <c r="I462" s="52"/>
      <c r="J462" s="52"/>
      <c r="K462" s="52"/>
      <c r="L462" s="52"/>
      <c r="M462" s="52"/>
      <c r="N462" s="52"/>
      <c r="O462" s="52"/>
      <c r="P462" s="52"/>
      <c r="Q462" s="52"/>
      <c r="R462" s="52"/>
      <c r="S462" s="52"/>
      <c r="T462" s="52"/>
      <c r="U462" s="52"/>
      <c r="V462" s="52"/>
      <c r="W462" s="52"/>
      <c r="X462" s="52"/>
      <c r="Y462" s="52"/>
      <c r="Z462" s="52"/>
    </row>
    <row r="463" spans="1:26" ht="60">
      <c r="A463" s="30" t="s">
        <v>603</v>
      </c>
      <c r="B463" s="38" t="s">
        <v>18</v>
      </c>
      <c r="C463" s="51">
        <v>43914</v>
      </c>
      <c r="D463" s="30" t="s">
        <v>19</v>
      </c>
      <c r="E463" s="30" t="s">
        <v>613</v>
      </c>
      <c r="F463" s="42" t="str">
        <f>HYPERLINK("https://s3.amazonaws.com/fn-document-service/file-by-sha384/c51bd9b4e139bd7664e30406da75955be488040de5cc9dfebcbd0a9c09b39496fe9bc24205a95f1d7ba823b0f1be5b08","AN ACT to suspend rent payments for certain residential tenants and small business commercial tenants and to suspend certain mortgage")</f>
        <v>AN ACT to suspend rent payments for certain residential tenants and small business commercial tenants and to suspend certain mortgage</v>
      </c>
      <c r="G463" s="38" t="s">
        <v>10</v>
      </c>
      <c r="H463" s="52"/>
      <c r="I463" s="52"/>
      <c r="J463" s="52"/>
      <c r="K463" s="52"/>
      <c r="L463" s="52"/>
      <c r="M463" s="52"/>
      <c r="N463" s="52"/>
      <c r="O463" s="52"/>
      <c r="P463" s="52"/>
      <c r="Q463" s="52"/>
      <c r="R463" s="52"/>
      <c r="S463" s="52"/>
      <c r="T463" s="52"/>
      <c r="U463" s="52"/>
      <c r="V463" s="52"/>
      <c r="W463" s="52"/>
      <c r="X463" s="52"/>
      <c r="Y463" s="52"/>
      <c r="Z463" s="52"/>
    </row>
    <row r="464" spans="1:26" ht="75">
      <c r="A464" s="30" t="s">
        <v>603</v>
      </c>
      <c r="B464" s="38" t="s">
        <v>18</v>
      </c>
      <c r="C464" s="51">
        <v>44029</v>
      </c>
      <c r="D464" s="30" t="s">
        <v>19</v>
      </c>
      <c r="E464" s="30" t="s">
        <v>1239</v>
      </c>
      <c r="F464" s="43" t="s">
        <v>1238</v>
      </c>
      <c r="G464" s="38" t="s">
        <v>10</v>
      </c>
      <c r="H464" s="52"/>
      <c r="I464" s="52"/>
      <c r="J464" s="52"/>
      <c r="K464" s="52"/>
      <c r="L464" s="52"/>
      <c r="M464" s="52"/>
      <c r="N464" s="52"/>
      <c r="O464" s="52"/>
      <c r="P464" s="52"/>
      <c r="Q464" s="52"/>
      <c r="R464" s="52"/>
      <c r="S464" s="52"/>
      <c r="T464" s="52"/>
      <c r="U464" s="52"/>
      <c r="V464" s="52"/>
      <c r="W464" s="52"/>
      <c r="X464" s="52"/>
      <c r="Y464" s="52"/>
      <c r="Z464" s="52"/>
    </row>
    <row r="465" spans="1:26">
      <c r="A465" s="30" t="s">
        <v>603</v>
      </c>
      <c r="B465" s="38" t="s">
        <v>18</v>
      </c>
      <c r="C465" s="51">
        <v>44036</v>
      </c>
      <c r="D465" s="30" t="s">
        <v>19</v>
      </c>
      <c r="E465" s="30" t="s">
        <v>1125</v>
      </c>
      <c r="F465" s="43" t="s">
        <v>1126</v>
      </c>
      <c r="G465" s="38" t="s">
        <v>1124</v>
      </c>
      <c r="H465" s="52"/>
      <c r="I465" s="52"/>
      <c r="J465" s="52"/>
      <c r="K465" s="52"/>
      <c r="L465" s="52"/>
      <c r="M465" s="52"/>
      <c r="N465" s="52"/>
      <c r="O465" s="52"/>
      <c r="P465" s="52"/>
      <c r="Q465" s="52"/>
      <c r="R465" s="52"/>
      <c r="S465" s="52"/>
      <c r="T465" s="52"/>
      <c r="U465" s="52"/>
      <c r="V465" s="52"/>
      <c r="W465" s="52"/>
      <c r="X465" s="52"/>
      <c r="Y465" s="52"/>
      <c r="Z465" s="52"/>
    </row>
    <row r="466" spans="1:26" ht="60">
      <c r="A466" s="30" t="s">
        <v>603</v>
      </c>
      <c r="B466" s="38" t="s">
        <v>18</v>
      </c>
      <c r="C466" s="51">
        <v>44034</v>
      </c>
      <c r="D466" s="30" t="s">
        <v>49</v>
      </c>
      <c r="E466" s="30" t="s">
        <v>1120</v>
      </c>
      <c r="F466" s="43" t="s">
        <v>1121</v>
      </c>
      <c r="G466" s="38" t="s">
        <v>17</v>
      </c>
      <c r="H466" s="52"/>
      <c r="I466" s="52"/>
      <c r="J466" s="52"/>
      <c r="K466" s="52"/>
      <c r="L466" s="52"/>
      <c r="M466" s="52"/>
      <c r="N466" s="52"/>
      <c r="O466" s="52"/>
      <c r="P466" s="52"/>
      <c r="Q466" s="52"/>
      <c r="R466" s="52"/>
      <c r="S466" s="52"/>
      <c r="T466" s="52"/>
      <c r="U466" s="52"/>
      <c r="V466" s="52"/>
      <c r="W466" s="52"/>
      <c r="X466" s="52"/>
      <c r="Y466" s="52"/>
      <c r="Z466" s="52"/>
    </row>
    <row r="467" spans="1:26" ht="76.5" customHeight="1">
      <c r="A467" s="30" t="s">
        <v>603</v>
      </c>
      <c r="B467" s="38" t="s">
        <v>18</v>
      </c>
      <c r="C467" s="51">
        <v>43913</v>
      </c>
      <c r="D467" s="30" t="s">
        <v>13</v>
      </c>
      <c r="E467" s="30" t="s">
        <v>614</v>
      </c>
      <c r="F467" s="42" t="str">
        <f>HYPERLINK("https://www.congress.gov/bill/116th-congress/house-bill/6374?q=%7B%22search%22%3A%5B%22coronavirus%22%5D%7D&amp;s=2&amp;r=4","H.R.6374 - To suspend requirements that tenants of assisted housing make contributions toward rent during the public health emergency relating to coronavirus, and for other purposes.")</f>
        <v>H.R.6374 - To suspend requirements that tenants of assisted housing make contributions toward rent during the public health emergency relating to coronavirus, and for other purposes.</v>
      </c>
      <c r="G467" s="38" t="s">
        <v>17</v>
      </c>
      <c r="H467" s="52"/>
      <c r="I467" s="52"/>
      <c r="J467" s="52"/>
      <c r="K467" s="52"/>
      <c r="L467" s="52"/>
      <c r="M467" s="52"/>
      <c r="N467" s="52"/>
      <c r="O467" s="52"/>
      <c r="P467" s="52"/>
      <c r="Q467" s="52"/>
      <c r="R467" s="52"/>
      <c r="S467" s="52"/>
      <c r="T467" s="52"/>
      <c r="U467" s="52"/>
      <c r="V467" s="52"/>
      <c r="W467" s="52"/>
      <c r="X467" s="52"/>
      <c r="Y467" s="52"/>
      <c r="Z467" s="52"/>
    </row>
    <row r="468" spans="1:26" ht="30">
      <c r="A468" s="30" t="s">
        <v>603</v>
      </c>
      <c r="B468" s="38" t="s">
        <v>18</v>
      </c>
      <c r="C468" s="51">
        <v>43919</v>
      </c>
      <c r="D468" s="30" t="s">
        <v>13</v>
      </c>
      <c r="E468" s="30" t="s">
        <v>615</v>
      </c>
      <c r="F468" s="42" t="str">
        <f>HYPERLINK("https://www.nysenate.gov/legislation/bills/2019/S8140","Senate Bill S8140A")</f>
        <v>Senate Bill S8140A</v>
      </c>
      <c r="G468" s="38" t="s">
        <v>17</v>
      </c>
      <c r="H468" s="52"/>
      <c r="I468" s="52"/>
      <c r="J468" s="52"/>
      <c r="K468" s="52"/>
      <c r="L468" s="52"/>
      <c r="M468" s="52"/>
      <c r="N468" s="52"/>
      <c r="O468" s="52"/>
      <c r="P468" s="52"/>
      <c r="Q468" s="52"/>
      <c r="R468" s="52"/>
      <c r="S468" s="52"/>
      <c r="T468" s="52"/>
      <c r="U468" s="52"/>
      <c r="V468" s="52"/>
      <c r="W468" s="52"/>
      <c r="X468" s="52"/>
      <c r="Y468" s="52"/>
      <c r="Z468" s="52"/>
    </row>
    <row r="469" spans="1:26" ht="45">
      <c r="A469" s="30" t="s">
        <v>603</v>
      </c>
      <c r="B469" s="38" t="s">
        <v>18</v>
      </c>
      <c r="C469" s="51">
        <v>43929</v>
      </c>
      <c r="D469" s="30" t="s">
        <v>13</v>
      </c>
      <c r="E469" s="30" t="s">
        <v>616</v>
      </c>
      <c r="F469" s="42" t="str">
        <f>HYPERLINK("https://nyassembly.gov/leg/?default_fld=%0D%0A&amp;leg_video=&amp;bn=A10255&amp;term=2019&amp;Summary=Y","A10255 Summary")</f>
        <v>A10255 Summary</v>
      </c>
      <c r="G469" s="38" t="s">
        <v>17</v>
      </c>
      <c r="H469" s="52"/>
      <c r="I469" s="52"/>
      <c r="J469" s="52"/>
      <c r="K469" s="52"/>
      <c r="L469" s="52"/>
      <c r="M469" s="52"/>
      <c r="N469" s="52"/>
      <c r="O469" s="52"/>
      <c r="P469" s="52"/>
      <c r="Q469" s="52"/>
      <c r="R469" s="52"/>
      <c r="S469" s="52"/>
      <c r="T469" s="52"/>
      <c r="U469" s="52"/>
      <c r="V469" s="52"/>
      <c r="W469" s="52"/>
      <c r="X469" s="52"/>
      <c r="Y469" s="52"/>
      <c r="Z469" s="52"/>
    </row>
    <row r="470" spans="1:26" ht="30">
      <c r="A470" s="30" t="s">
        <v>603</v>
      </c>
      <c r="B470" s="38" t="s">
        <v>18</v>
      </c>
      <c r="C470" s="51">
        <v>43934</v>
      </c>
      <c r="D470" s="30" t="s">
        <v>13</v>
      </c>
      <c r="E470" s="30" t="s">
        <v>617</v>
      </c>
      <c r="F470" s="42" t="str">
        <f>HYPERLINK("https://www.nysenate.gov/legislation/bills/2019/S8192","SB 8192")</f>
        <v>SB 8192</v>
      </c>
      <c r="G470" s="38" t="s">
        <v>17</v>
      </c>
      <c r="H470" s="52"/>
      <c r="I470" s="52"/>
      <c r="J470" s="52"/>
      <c r="K470" s="52"/>
      <c r="L470" s="52"/>
      <c r="M470" s="52"/>
      <c r="N470" s="52"/>
      <c r="O470" s="52"/>
      <c r="P470" s="52"/>
      <c r="Q470" s="52"/>
      <c r="R470" s="52"/>
      <c r="S470" s="52"/>
      <c r="T470" s="52"/>
      <c r="U470" s="52"/>
      <c r="V470" s="52"/>
      <c r="W470" s="52"/>
      <c r="X470" s="52"/>
      <c r="Y470" s="52"/>
      <c r="Z470" s="52"/>
    </row>
    <row r="471" spans="1:26" ht="61.5" customHeight="1">
      <c r="A471" s="30" t="s">
        <v>603</v>
      </c>
      <c r="B471" s="38" t="s">
        <v>18</v>
      </c>
      <c r="C471" s="51">
        <v>43935</v>
      </c>
      <c r="D471" s="30" t="s">
        <v>13</v>
      </c>
      <c r="E471" s="30" t="s">
        <v>618</v>
      </c>
      <c r="F471" s="42" t="str">
        <f>HYPERLINK("https://legislation.nysenate.gov/pdf/bills/2019/S7506B","SB 7506")</f>
        <v>SB 7506</v>
      </c>
      <c r="G471" s="38" t="s">
        <v>24</v>
      </c>
      <c r="H471" s="52"/>
      <c r="I471" s="52"/>
      <c r="J471" s="52"/>
      <c r="K471" s="52"/>
      <c r="L471" s="52"/>
      <c r="M471" s="52"/>
      <c r="N471" s="52"/>
      <c r="O471" s="52"/>
      <c r="P471" s="52"/>
      <c r="Q471" s="52"/>
      <c r="R471" s="52"/>
      <c r="S471" s="52"/>
      <c r="T471" s="52"/>
      <c r="U471" s="52"/>
      <c r="V471" s="52"/>
      <c r="W471" s="52"/>
      <c r="X471" s="52"/>
      <c r="Y471" s="52"/>
      <c r="Z471" s="52"/>
    </row>
    <row r="472" spans="1:26" ht="63.75" customHeight="1">
      <c r="A472" s="30" t="s">
        <v>603</v>
      </c>
      <c r="B472" s="38" t="s">
        <v>18</v>
      </c>
      <c r="C472" s="51">
        <v>44027</v>
      </c>
      <c r="D472" s="30" t="s">
        <v>13</v>
      </c>
      <c r="E472" s="30" t="s">
        <v>1195</v>
      </c>
      <c r="F472" s="43" t="s">
        <v>1194</v>
      </c>
      <c r="G472" s="38" t="s">
        <v>10</v>
      </c>
      <c r="H472" s="52"/>
      <c r="I472" s="52"/>
      <c r="J472" s="52"/>
      <c r="K472" s="52"/>
      <c r="L472" s="52"/>
      <c r="M472" s="52"/>
      <c r="N472" s="52"/>
      <c r="O472" s="52"/>
      <c r="P472" s="52"/>
      <c r="Q472" s="52"/>
      <c r="R472" s="52"/>
      <c r="S472" s="52"/>
      <c r="T472" s="52"/>
      <c r="U472" s="52"/>
      <c r="V472" s="52"/>
      <c r="W472" s="52"/>
      <c r="X472" s="52"/>
      <c r="Y472" s="52"/>
      <c r="Z472" s="52"/>
    </row>
    <row r="473" spans="1:26" ht="75">
      <c r="A473" s="30" t="s">
        <v>603</v>
      </c>
      <c r="B473" s="38" t="s">
        <v>18</v>
      </c>
      <c r="C473" s="51">
        <v>44020</v>
      </c>
      <c r="D473" s="30" t="s">
        <v>8</v>
      </c>
      <c r="E473" s="30" t="s">
        <v>1263</v>
      </c>
      <c r="F473" s="43" t="s">
        <v>1264</v>
      </c>
      <c r="G473" s="38" t="s">
        <v>17</v>
      </c>
      <c r="H473" s="52"/>
      <c r="I473" s="52"/>
      <c r="J473" s="52"/>
      <c r="K473" s="52"/>
      <c r="L473" s="52"/>
      <c r="M473" s="52"/>
      <c r="N473" s="52"/>
      <c r="O473" s="52"/>
      <c r="P473" s="52"/>
      <c r="Q473" s="52"/>
      <c r="R473" s="52"/>
      <c r="S473" s="52"/>
      <c r="T473" s="52"/>
      <c r="U473" s="52"/>
      <c r="V473" s="52"/>
      <c r="W473" s="52"/>
      <c r="X473" s="52"/>
      <c r="Y473" s="52"/>
      <c r="Z473" s="52"/>
    </row>
    <row r="474" spans="1:26" ht="45">
      <c r="A474" s="30" t="s">
        <v>603</v>
      </c>
      <c r="B474" s="38" t="s">
        <v>619</v>
      </c>
      <c r="C474" s="51">
        <v>43942</v>
      </c>
      <c r="D474" s="30" t="s">
        <v>13</v>
      </c>
      <c r="E474" s="30" t="s">
        <v>620</v>
      </c>
      <c r="F474" s="43" t="s">
        <v>621</v>
      </c>
      <c r="G474" s="38" t="s">
        <v>17</v>
      </c>
      <c r="H474" s="52"/>
      <c r="I474" s="52"/>
      <c r="J474" s="52"/>
      <c r="K474" s="52"/>
      <c r="L474" s="52"/>
      <c r="M474" s="52"/>
      <c r="N474" s="52"/>
      <c r="O474" s="52"/>
      <c r="P474" s="52"/>
      <c r="Q474" s="52"/>
      <c r="R474" s="52"/>
      <c r="S474" s="52"/>
      <c r="T474" s="52"/>
      <c r="U474" s="52"/>
      <c r="V474" s="52"/>
      <c r="W474" s="52"/>
      <c r="X474" s="52"/>
      <c r="Y474" s="52"/>
      <c r="Z474" s="52"/>
    </row>
    <row r="475" spans="1:26" ht="120">
      <c r="A475" s="30" t="s">
        <v>603</v>
      </c>
      <c r="B475" s="38" t="s">
        <v>619</v>
      </c>
      <c r="C475" s="51">
        <v>43985</v>
      </c>
      <c r="D475" s="30" t="s">
        <v>13</v>
      </c>
      <c r="E475" s="30" t="s">
        <v>989</v>
      </c>
      <c r="F475" s="43" t="s">
        <v>988</v>
      </c>
      <c r="G475" s="38" t="s">
        <v>10</v>
      </c>
      <c r="H475" s="52"/>
      <c r="I475" s="52"/>
      <c r="J475" s="52"/>
      <c r="K475" s="52"/>
      <c r="L475" s="52"/>
      <c r="M475" s="52"/>
      <c r="N475" s="52"/>
      <c r="O475" s="52"/>
      <c r="P475" s="52"/>
      <c r="Q475" s="52"/>
      <c r="R475" s="52"/>
      <c r="S475" s="52"/>
      <c r="T475" s="52"/>
      <c r="U475" s="52"/>
      <c r="V475" s="52"/>
      <c r="W475" s="52"/>
      <c r="X475" s="52"/>
      <c r="Y475" s="52"/>
      <c r="Z475" s="52"/>
    </row>
    <row r="476" spans="1:26" ht="45">
      <c r="A476" s="30" t="s">
        <v>590</v>
      </c>
      <c r="B476" s="38" t="s">
        <v>622</v>
      </c>
      <c r="C476" s="51">
        <v>43929</v>
      </c>
      <c r="D476" s="30" t="s">
        <v>40</v>
      </c>
      <c r="E476" s="30" t="s">
        <v>1053</v>
      </c>
      <c r="F476" s="43" t="s">
        <v>1052</v>
      </c>
      <c r="G476" s="38" t="s">
        <v>10</v>
      </c>
      <c r="H476" s="52"/>
      <c r="I476" s="52"/>
      <c r="J476" s="52"/>
      <c r="K476" s="52"/>
      <c r="L476" s="52"/>
      <c r="M476" s="52"/>
      <c r="N476" s="52"/>
      <c r="O476" s="52"/>
      <c r="P476" s="52"/>
      <c r="Q476" s="52"/>
      <c r="R476" s="52"/>
      <c r="S476" s="52"/>
      <c r="T476" s="52"/>
      <c r="U476" s="52"/>
      <c r="V476" s="52"/>
      <c r="W476" s="52"/>
      <c r="X476" s="52"/>
      <c r="Y476" s="52"/>
      <c r="Z476" s="52"/>
    </row>
    <row r="477" spans="1:26" ht="45">
      <c r="A477" s="30" t="s">
        <v>590</v>
      </c>
      <c r="B477" s="38" t="s">
        <v>622</v>
      </c>
      <c r="C477" s="51">
        <v>43906</v>
      </c>
      <c r="D477" s="30" t="s">
        <v>13</v>
      </c>
      <c r="E477" s="30" t="s">
        <v>623</v>
      </c>
      <c r="F477" s="42" t="s">
        <v>624</v>
      </c>
      <c r="G477" s="38" t="s">
        <v>17</v>
      </c>
      <c r="H477" s="52"/>
      <c r="I477" s="52"/>
      <c r="J477" s="52"/>
      <c r="K477" s="52"/>
      <c r="L477" s="52"/>
      <c r="M477" s="52"/>
      <c r="N477" s="52"/>
      <c r="O477" s="52"/>
      <c r="P477" s="52"/>
      <c r="Q477" s="52"/>
      <c r="R477" s="52"/>
      <c r="S477" s="52"/>
      <c r="T477" s="52"/>
      <c r="U477" s="52"/>
      <c r="V477" s="52"/>
      <c r="W477" s="52"/>
      <c r="X477" s="52"/>
      <c r="Y477" s="52"/>
      <c r="Z477" s="52"/>
    </row>
    <row r="478" spans="1:26" ht="30">
      <c r="A478" s="30" t="s">
        <v>590</v>
      </c>
      <c r="B478" s="38" t="s">
        <v>625</v>
      </c>
      <c r="C478" s="51">
        <v>43914</v>
      </c>
      <c r="D478" s="30" t="s">
        <v>40</v>
      </c>
      <c r="E478" s="30" t="s">
        <v>626</v>
      </c>
      <c r="F478" s="42" t="str">
        <f>HYPERLINK("https://s3.amazonaws.com/fn-document-service/file-by-sha384/19a68e3245ecfd979369cdc9d8a89fa06b7fef1fa991ed29dd38e628f2701aa027b2e900a5eecb4569687bd91a5e9995#page=3","Board of Commisioners Meeting")</f>
        <v>Board of Commisioners Meeting</v>
      </c>
      <c r="G478" s="38" t="s">
        <v>51</v>
      </c>
      <c r="H478" s="52"/>
      <c r="I478" s="52"/>
      <c r="J478" s="52"/>
      <c r="K478" s="52"/>
      <c r="L478" s="52"/>
      <c r="M478" s="52"/>
      <c r="N478" s="52"/>
      <c r="O478" s="52"/>
      <c r="P478" s="52"/>
      <c r="Q478" s="52"/>
      <c r="R478" s="52"/>
      <c r="S478" s="52"/>
      <c r="T478" s="52"/>
      <c r="U478" s="52"/>
      <c r="V478" s="52"/>
      <c r="W478" s="52"/>
      <c r="X478" s="52"/>
      <c r="Y478" s="52"/>
      <c r="Z478" s="52"/>
    </row>
    <row r="479" spans="1:26" ht="75">
      <c r="A479" s="30" t="s">
        <v>590</v>
      </c>
      <c r="B479" s="38" t="s">
        <v>627</v>
      </c>
      <c r="C479" s="51">
        <v>43958</v>
      </c>
      <c r="D479" s="30" t="s">
        <v>13</v>
      </c>
      <c r="E479" s="30" t="s">
        <v>628</v>
      </c>
      <c r="F479" s="43" t="s">
        <v>629</v>
      </c>
      <c r="G479" s="38" t="s">
        <v>51</v>
      </c>
      <c r="H479" s="52"/>
      <c r="I479" s="52"/>
      <c r="J479" s="52"/>
      <c r="K479" s="52"/>
      <c r="L479" s="52"/>
      <c r="M479" s="52"/>
      <c r="N479" s="52"/>
      <c r="O479" s="52"/>
      <c r="P479" s="52"/>
      <c r="Q479" s="52"/>
      <c r="R479" s="52"/>
      <c r="S479" s="52"/>
      <c r="T479" s="52"/>
      <c r="U479" s="52"/>
      <c r="V479" s="52"/>
      <c r="W479" s="52"/>
      <c r="X479" s="52"/>
      <c r="Y479" s="52"/>
      <c r="Z479" s="52"/>
    </row>
    <row r="480" spans="1:26" ht="60">
      <c r="A480" s="30" t="s">
        <v>590</v>
      </c>
      <c r="B480" s="38" t="s">
        <v>334</v>
      </c>
      <c r="C480" s="51">
        <v>44018</v>
      </c>
      <c r="D480" s="30" t="s">
        <v>13</v>
      </c>
      <c r="E480" s="30" t="s">
        <v>1102</v>
      </c>
      <c r="F480" s="43" t="s">
        <v>1103</v>
      </c>
      <c r="G480" s="38" t="s">
        <v>51</v>
      </c>
      <c r="H480" s="52"/>
      <c r="I480" s="52"/>
      <c r="J480" s="52"/>
      <c r="K480" s="52"/>
      <c r="L480" s="52"/>
      <c r="M480" s="52"/>
      <c r="N480" s="52"/>
      <c r="O480" s="52"/>
      <c r="P480" s="52"/>
      <c r="Q480" s="52"/>
      <c r="R480" s="52"/>
      <c r="S480" s="52"/>
      <c r="T480" s="52"/>
      <c r="U480" s="52"/>
      <c r="V480" s="52"/>
      <c r="W480" s="52"/>
      <c r="X480" s="52"/>
      <c r="Y480" s="52"/>
      <c r="Z480" s="52"/>
    </row>
    <row r="481" spans="1:26" ht="30">
      <c r="A481" s="30" t="s">
        <v>590</v>
      </c>
      <c r="B481" s="38" t="s">
        <v>18</v>
      </c>
      <c r="C481" s="51">
        <v>43906</v>
      </c>
      <c r="D481" s="30" t="s">
        <v>19</v>
      </c>
      <c r="E481" s="30" t="s">
        <v>630</v>
      </c>
      <c r="F481" s="42" t="str">
        <f>HYPERLINK("https://www.charlotteobserver.com/news/coronavirus/article241226521.html","NC Courts stop evictions and foreclosures as part of coronavirus response")</f>
        <v>NC Courts stop evictions and foreclosures as part of coronavirus response</v>
      </c>
      <c r="G481" s="38" t="s">
        <v>10</v>
      </c>
      <c r="H481" s="52"/>
      <c r="I481" s="52"/>
      <c r="J481" s="52"/>
      <c r="K481" s="52"/>
      <c r="L481" s="52"/>
      <c r="M481" s="52"/>
      <c r="N481" s="52"/>
      <c r="O481" s="52"/>
      <c r="P481" s="52"/>
      <c r="Q481" s="52"/>
      <c r="R481" s="52"/>
      <c r="S481" s="52"/>
      <c r="T481" s="52"/>
      <c r="U481" s="52"/>
      <c r="V481" s="52"/>
      <c r="W481" s="52"/>
      <c r="X481" s="52"/>
      <c r="Y481" s="52"/>
      <c r="Z481" s="52"/>
    </row>
    <row r="482" spans="1:26" ht="45">
      <c r="A482" s="30" t="s">
        <v>590</v>
      </c>
      <c r="B482" s="38" t="s">
        <v>18</v>
      </c>
      <c r="C482" s="51">
        <v>44132</v>
      </c>
      <c r="D482" s="30" t="s">
        <v>19</v>
      </c>
      <c r="E482" s="30" t="s">
        <v>1416</v>
      </c>
      <c r="F482" s="43" t="s">
        <v>1417</v>
      </c>
      <c r="G482" s="38" t="s">
        <v>10</v>
      </c>
      <c r="H482" s="52"/>
      <c r="I482" s="52"/>
      <c r="J482" s="52"/>
      <c r="K482" s="52"/>
      <c r="L482" s="52"/>
      <c r="M482" s="52"/>
      <c r="N482" s="52"/>
      <c r="O482" s="52"/>
      <c r="P482" s="52"/>
      <c r="Q482" s="52"/>
      <c r="R482" s="52"/>
      <c r="S482" s="52"/>
      <c r="T482" s="52"/>
      <c r="U482" s="52"/>
      <c r="V482" s="52"/>
      <c r="W482" s="52"/>
      <c r="X482" s="52"/>
      <c r="Y482" s="52"/>
      <c r="Z482" s="52"/>
    </row>
    <row r="483" spans="1:26" ht="180">
      <c r="A483" s="30" t="s">
        <v>590</v>
      </c>
      <c r="B483" s="38" t="s">
        <v>18</v>
      </c>
      <c r="C483" s="51">
        <v>44068</v>
      </c>
      <c r="D483" s="30" t="s">
        <v>13</v>
      </c>
      <c r="E483" s="30" t="s">
        <v>1326</v>
      </c>
      <c r="F483" s="43" t="s">
        <v>1327</v>
      </c>
      <c r="G483" s="38" t="s">
        <v>10</v>
      </c>
      <c r="H483" s="52"/>
      <c r="I483" s="52"/>
      <c r="J483" s="52"/>
      <c r="K483" s="52"/>
      <c r="L483" s="52"/>
      <c r="M483" s="52"/>
      <c r="N483" s="52"/>
      <c r="O483" s="52"/>
      <c r="P483" s="52"/>
      <c r="Q483" s="52"/>
      <c r="R483" s="52"/>
      <c r="S483" s="52"/>
      <c r="T483" s="52"/>
      <c r="U483" s="52"/>
      <c r="V483" s="52"/>
      <c r="W483" s="52"/>
      <c r="X483" s="52"/>
      <c r="Y483" s="52"/>
      <c r="Z483" s="52"/>
    </row>
    <row r="484" spans="1:26" ht="30">
      <c r="A484" s="30" t="s">
        <v>590</v>
      </c>
      <c r="B484" s="38" t="s">
        <v>18</v>
      </c>
      <c r="C484" s="51">
        <v>44099</v>
      </c>
      <c r="D484" s="30" t="s">
        <v>8</v>
      </c>
      <c r="E484" s="30" t="s">
        <v>1281</v>
      </c>
      <c r="F484" s="43" t="s">
        <v>1279</v>
      </c>
      <c r="G484" s="38" t="s">
        <v>10</v>
      </c>
      <c r="H484" s="52"/>
      <c r="I484" s="52"/>
      <c r="J484" s="52"/>
      <c r="K484" s="52"/>
      <c r="L484" s="52"/>
      <c r="M484" s="52"/>
      <c r="N484" s="52"/>
      <c r="O484" s="52"/>
      <c r="P484" s="52"/>
      <c r="Q484" s="52"/>
      <c r="R484" s="52"/>
      <c r="S484" s="52"/>
      <c r="T484" s="52"/>
      <c r="U484" s="52"/>
      <c r="V484" s="52"/>
      <c r="W484" s="52"/>
      <c r="X484" s="52"/>
      <c r="Y484" s="52"/>
      <c r="Z484" s="52"/>
    </row>
    <row r="485" spans="1:26" ht="45">
      <c r="A485" s="30" t="s">
        <v>590</v>
      </c>
      <c r="B485" s="38" t="s">
        <v>0</v>
      </c>
      <c r="C485" s="51">
        <v>43991</v>
      </c>
      <c r="D485" s="30" t="s">
        <v>154</v>
      </c>
      <c r="E485" s="30" t="s">
        <v>591</v>
      </c>
      <c r="F485" s="43" t="s">
        <v>592</v>
      </c>
      <c r="G485" s="38" t="s">
        <v>10</v>
      </c>
      <c r="H485" s="52"/>
      <c r="I485" s="52"/>
      <c r="J485" s="52"/>
      <c r="K485" s="52"/>
      <c r="L485" s="52"/>
      <c r="M485" s="52"/>
      <c r="N485" s="52"/>
      <c r="O485" s="52"/>
      <c r="P485" s="52"/>
      <c r="Q485" s="52"/>
      <c r="R485" s="52"/>
      <c r="S485" s="52"/>
      <c r="T485" s="52"/>
      <c r="U485" s="52"/>
      <c r="V485" s="52"/>
      <c r="W485" s="52"/>
      <c r="X485" s="52"/>
      <c r="Y485" s="52"/>
      <c r="Z485" s="52"/>
    </row>
    <row r="486" spans="1:26" ht="30">
      <c r="A486" s="30" t="s">
        <v>590</v>
      </c>
      <c r="B486" s="38" t="s">
        <v>631</v>
      </c>
      <c r="C486" s="51">
        <v>43906</v>
      </c>
      <c r="D486" s="30" t="s">
        <v>40</v>
      </c>
      <c r="E486" s="30" t="s">
        <v>1471</v>
      </c>
      <c r="F486" s="42" t="str">
        <f>HYPERLINK("https://s3.amazonaws.com/fn-document-service/file-by-sha384/9a667a17d93b2f1a821cfa4954cb5ecb7ba0429117794975264b3622f7197511572af42aee14d1251b4a0c0ea55bb7ed#page=1","Board of Commisioners Meeting")</f>
        <v>Board of Commisioners Meeting</v>
      </c>
      <c r="G486" s="38" t="s">
        <v>51</v>
      </c>
      <c r="H486" s="52"/>
      <c r="I486" s="52"/>
      <c r="J486" s="52"/>
      <c r="K486" s="52"/>
      <c r="L486" s="52"/>
      <c r="M486" s="52"/>
      <c r="N486" s="52"/>
      <c r="O486" s="52"/>
      <c r="P486" s="52"/>
      <c r="Q486" s="52"/>
      <c r="R486" s="52"/>
      <c r="S486" s="52"/>
      <c r="T486" s="52"/>
      <c r="U486" s="52"/>
      <c r="V486" s="52"/>
      <c r="W486" s="52"/>
      <c r="X486" s="52"/>
      <c r="Y486" s="52"/>
      <c r="Z486" s="52"/>
    </row>
    <row r="487" spans="1:26" ht="90">
      <c r="A487" s="30" t="s">
        <v>590</v>
      </c>
      <c r="B487" s="38" t="s">
        <v>631</v>
      </c>
      <c r="C487" s="51">
        <v>44111</v>
      </c>
      <c r="D487" s="30" t="s">
        <v>13</v>
      </c>
      <c r="E487" s="30" t="s">
        <v>1472</v>
      </c>
      <c r="F487" s="43" t="s">
        <v>1473</v>
      </c>
      <c r="G487" s="38" t="s">
        <v>10</v>
      </c>
      <c r="H487" s="52"/>
      <c r="I487" s="52"/>
      <c r="J487" s="52"/>
      <c r="K487" s="52"/>
      <c r="L487" s="52"/>
      <c r="M487" s="52"/>
      <c r="N487" s="52"/>
      <c r="O487" s="52"/>
      <c r="P487" s="52"/>
      <c r="Q487" s="52"/>
      <c r="R487" s="52"/>
      <c r="S487" s="52"/>
      <c r="T487" s="52"/>
      <c r="U487" s="52"/>
      <c r="V487" s="52"/>
      <c r="W487" s="52"/>
      <c r="X487" s="52"/>
      <c r="Y487" s="52"/>
      <c r="Z487" s="52"/>
    </row>
    <row r="488" spans="1:26" ht="30">
      <c r="A488" s="30" t="s">
        <v>632</v>
      </c>
      <c r="B488" s="38" t="s">
        <v>18</v>
      </c>
      <c r="C488" s="51">
        <v>43972</v>
      </c>
      <c r="D488" s="30" t="s">
        <v>13</v>
      </c>
      <c r="E488" s="30" t="s">
        <v>633</v>
      </c>
      <c r="F488" s="43" t="s">
        <v>634</v>
      </c>
      <c r="G488" s="38" t="s">
        <v>10</v>
      </c>
      <c r="H488" s="52"/>
      <c r="I488" s="52"/>
      <c r="J488" s="52"/>
      <c r="K488" s="52"/>
      <c r="L488" s="52"/>
      <c r="M488" s="52"/>
      <c r="N488" s="52"/>
      <c r="O488" s="52"/>
      <c r="P488" s="52"/>
      <c r="Q488" s="52"/>
      <c r="R488" s="52"/>
      <c r="S488" s="52"/>
      <c r="T488" s="52"/>
      <c r="U488" s="52"/>
      <c r="V488" s="52"/>
      <c r="W488" s="52"/>
      <c r="X488" s="52"/>
      <c r="Y488" s="52"/>
      <c r="Z488" s="52"/>
    </row>
    <row r="489" spans="1:26" ht="45">
      <c r="A489" s="30" t="s">
        <v>632</v>
      </c>
      <c r="B489" s="38" t="s">
        <v>18</v>
      </c>
      <c r="C489" s="51">
        <v>43910</v>
      </c>
      <c r="D489" s="30" t="s">
        <v>8</v>
      </c>
      <c r="E489" s="30" t="s">
        <v>1280</v>
      </c>
      <c r="F489" s="43" t="s">
        <v>635</v>
      </c>
      <c r="G489" s="38" t="s">
        <v>10</v>
      </c>
      <c r="H489" s="52"/>
      <c r="I489" s="52"/>
      <c r="J489" s="52"/>
      <c r="K489" s="52"/>
      <c r="L489" s="52"/>
      <c r="M489" s="52"/>
      <c r="N489" s="52"/>
      <c r="O489" s="52"/>
      <c r="P489" s="52"/>
      <c r="Q489" s="52"/>
      <c r="R489" s="52"/>
      <c r="S489" s="52"/>
      <c r="T489" s="52"/>
      <c r="U489" s="52"/>
      <c r="V489" s="52"/>
      <c r="W489" s="52"/>
      <c r="X489" s="52"/>
      <c r="Y489" s="52"/>
      <c r="Z489" s="52"/>
    </row>
    <row r="490" spans="1:26" ht="15.75" customHeight="1">
      <c r="A490" s="30" t="s">
        <v>636</v>
      </c>
      <c r="B490" s="38"/>
      <c r="C490" s="30"/>
      <c r="D490" s="30"/>
      <c r="E490" s="30"/>
      <c r="F490" s="42"/>
      <c r="G490" s="38"/>
      <c r="H490" s="52"/>
      <c r="I490" s="52"/>
      <c r="J490" s="52"/>
      <c r="K490" s="52"/>
      <c r="L490" s="52"/>
      <c r="M490" s="52"/>
      <c r="N490" s="52"/>
      <c r="O490" s="52"/>
      <c r="P490" s="52"/>
      <c r="Q490" s="52"/>
      <c r="R490" s="52"/>
      <c r="S490" s="52"/>
      <c r="T490" s="52"/>
      <c r="U490" s="52"/>
      <c r="V490" s="52"/>
      <c r="W490" s="52"/>
      <c r="X490" s="52"/>
      <c r="Y490" s="52"/>
      <c r="Z490" s="52"/>
    </row>
    <row r="491" spans="1:26" ht="43.5" customHeight="1">
      <c r="A491" s="30" t="s">
        <v>637</v>
      </c>
      <c r="B491" s="38" t="s">
        <v>638</v>
      </c>
      <c r="C491" s="51">
        <v>43941</v>
      </c>
      <c r="D491" s="30" t="s">
        <v>13</v>
      </c>
      <c r="E491" s="30" t="s">
        <v>639</v>
      </c>
      <c r="F491" s="43" t="s">
        <v>640</v>
      </c>
      <c r="G491" s="38" t="s">
        <v>10</v>
      </c>
      <c r="H491" s="52"/>
      <c r="I491" s="52"/>
      <c r="J491" s="52"/>
      <c r="K491" s="52"/>
      <c r="L491" s="52"/>
      <c r="M491" s="52"/>
      <c r="N491" s="52"/>
      <c r="O491" s="52"/>
      <c r="P491" s="52"/>
      <c r="Q491" s="52"/>
      <c r="R491" s="52"/>
      <c r="S491" s="52"/>
      <c r="T491" s="52"/>
      <c r="U491" s="52"/>
      <c r="V491" s="52"/>
      <c r="W491" s="52"/>
      <c r="X491" s="52"/>
      <c r="Y491" s="52"/>
      <c r="Z491" s="52"/>
    </row>
    <row r="492" spans="1:26" ht="45">
      <c r="A492" s="30" t="s">
        <v>637</v>
      </c>
      <c r="B492" s="38" t="s">
        <v>641</v>
      </c>
      <c r="C492" s="51">
        <v>43913</v>
      </c>
      <c r="D492" s="30" t="s">
        <v>19</v>
      </c>
      <c r="E492" s="30" t="s">
        <v>642</v>
      </c>
      <c r="F492" s="42" t="str">
        <f>HYPERLINK("https://www.cleveland.com/coronavirus/2020/03/cleveland-city-council-oks-steps-to-address-coronavirus-hardships-calling-for-eviction-relief-aiding-troubled-businesses.html","Cleveland City Council OKs steps to address coronavirus hardships, calling for eviction relief, aiding troubled businesses")</f>
        <v>Cleveland City Council OKs steps to address coronavirus hardships, calling for eviction relief, aiding troubled businesses</v>
      </c>
      <c r="G492" s="38" t="s">
        <v>10</v>
      </c>
      <c r="H492" s="52"/>
      <c r="I492" s="52"/>
      <c r="J492" s="52"/>
      <c r="K492" s="52"/>
      <c r="L492" s="52"/>
      <c r="M492" s="52"/>
      <c r="N492" s="52"/>
      <c r="O492" s="52"/>
      <c r="P492" s="52"/>
      <c r="Q492" s="52"/>
      <c r="R492" s="52"/>
      <c r="S492" s="52"/>
      <c r="T492" s="52"/>
      <c r="U492" s="52"/>
      <c r="V492" s="52"/>
      <c r="W492" s="52"/>
      <c r="X492" s="52"/>
      <c r="Y492" s="52"/>
      <c r="Z492" s="52"/>
    </row>
    <row r="493" spans="1:26" ht="45">
      <c r="A493" s="30" t="s">
        <v>637</v>
      </c>
      <c r="B493" s="38" t="s">
        <v>641</v>
      </c>
      <c r="C493" s="51">
        <v>43959</v>
      </c>
      <c r="D493" s="30" t="s">
        <v>13</v>
      </c>
      <c r="E493" s="30" t="s">
        <v>643</v>
      </c>
      <c r="F493" s="43" t="s">
        <v>644</v>
      </c>
      <c r="G493" s="38" t="s">
        <v>10</v>
      </c>
      <c r="H493" s="52"/>
      <c r="I493" s="52"/>
      <c r="J493" s="52"/>
      <c r="K493" s="52"/>
      <c r="L493" s="52"/>
      <c r="M493" s="52"/>
      <c r="N493" s="52"/>
      <c r="O493" s="52"/>
      <c r="P493" s="52"/>
      <c r="Q493" s="52"/>
      <c r="R493" s="52"/>
      <c r="S493" s="52"/>
      <c r="T493" s="52"/>
      <c r="U493" s="52"/>
      <c r="V493" s="52"/>
      <c r="W493" s="52"/>
      <c r="X493" s="52"/>
      <c r="Y493" s="52"/>
      <c r="Z493" s="52"/>
    </row>
    <row r="494" spans="1:26" ht="30">
      <c r="A494" s="30" t="s">
        <v>637</v>
      </c>
      <c r="B494" s="38" t="s">
        <v>399</v>
      </c>
      <c r="C494" s="51">
        <v>43970</v>
      </c>
      <c r="D494" s="30" t="s">
        <v>49</v>
      </c>
      <c r="E494" s="30" t="s">
        <v>1047</v>
      </c>
      <c r="F494" s="43" t="s">
        <v>1048</v>
      </c>
      <c r="G494" s="38" t="s">
        <v>10</v>
      </c>
      <c r="H494" s="52"/>
      <c r="I494" s="52"/>
      <c r="J494" s="52"/>
      <c r="K494" s="52"/>
      <c r="L494" s="52"/>
      <c r="M494" s="52"/>
      <c r="N494" s="52"/>
      <c r="O494" s="52"/>
      <c r="P494" s="52"/>
      <c r="Q494" s="52"/>
      <c r="R494" s="52"/>
      <c r="S494" s="52"/>
      <c r="T494" s="52"/>
      <c r="U494" s="52"/>
      <c r="V494" s="52"/>
      <c r="W494" s="52"/>
      <c r="X494" s="52"/>
      <c r="Y494" s="52"/>
      <c r="Z494" s="52"/>
    </row>
    <row r="495" spans="1:26" ht="45">
      <c r="A495" s="30" t="s">
        <v>637</v>
      </c>
      <c r="B495" s="38" t="s">
        <v>399</v>
      </c>
      <c r="C495" s="51">
        <v>44147</v>
      </c>
      <c r="D495" s="30" t="s">
        <v>13</v>
      </c>
      <c r="E495" s="30" t="s">
        <v>1474</v>
      </c>
      <c r="F495" s="43" t="s">
        <v>1475</v>
      </c>
      <c r="G495" s="38" t="s">
        <v>51</v>
      </c>
      <c r="H495" s="52"/>
      <c r="I495" s="52"/>
      <c r="J495" s="52"/>
      <c r="K495" s="52"/>
      <c r="L495" s="52"/>
      <c r="M495" s="52"/>
      <c r="N495" s="52"/>
      <c r="O495" s="52"/>
      <c r="P495" s="52"/>
      <c r="Q495" s="52"/>
      <c r="R495" s="52"/>
      <c r="S495" s="52"/>
      <c r="T495" s="52"/>
      <c r="U495" s="52"/>
      <c r="V495" s="52"/>
      <c r="W495" s="52"/>
      <c r="X495" s="52"/>
      <c r="Y495" s="52"/>
      <c r="Z495" s="52"/>
    </row>
    <row r="496" spans="1:26" ht="48" customHeight="1">
      <c r="A496" s="30" t="s">
        <v>637</v>
      </c>
      <c r="B496" s="38" t="s">
        <v>645</v>
      </c>
      <c r="C496" s="51">
        <v>43904</v>
      </c>
      <c r="D496" s="30" t="s">
        <v>8</v>
      </c>
      <c r="E496" s="30" t="s">
        <v>646</v>
      </c>
      <c r="F496" s="42" t="str">
        <f>HYPERLINK("https://fox8.com/news/coronavirus/cuyahoga-county-jail-releasing-some-inmates-early-to-help-minimize-potential-coronavirus-outbreak/","Cuyahoga County jail releasing some inmates early to help minimize potential coronavirus outbreak")</f>
        <v>Cuyahoga County jail releasing some inmates early to help minimize potential coronavirus outbreak</v>
      </c>
      <c r="G496" s="38" t="s">
        <v>10</v>
      </c>
      <c r="H496" s="52"/>
      <c r="I496" s="52"/>
      <c r="J496" s="52"/>
      <c r="K496" s="52"/>
      <c r="L496" s="52"/>
      <c r="M496" s="52"/>
      <c r="N496" s="52"/>
      <c r="O496" s="52"/>
      <c r="P496" s="52"/>
      <c r="Q496" s="52"/>
      <c r="R496" s="52"/>
      <c r="S496" s="52"/>
      <c r="T496" s="52"/>
      <c r="U496" s="52"/>
      <c r="V496" s="52"/>
      <c r="W496" s="52"/>
      <c r="X496" s="52"/>
      <c r="Y496" s="52"/>
      <c r="Z496" s="52"/>
    </row>
    <row r="497" spans="1:26" ht="30">
      <c r="A497" s="30" t="s">
        <v>637</v>
      </c>
      <c r="B497" s="38" t="s">
        <v>647</v>
      </c>
      <c r="C497" s="51">
        <v>43903</v>
      </c>
      <c r="D497" s="30" t="s">
        <v>19</v>
      </c>
      <c r="E497" s="30" t="s">
        <v>648</v>
      </c>
      <c r="F497" s="42" t="str">
        <f>HYPERLINK("https://nlihc.org/eviction-and-foreclosure-moratoriums?utm_source=NLIHC+All+Subscribers&amp;utm_campaign=ba1ffda0a7-EMAIL_CAMPAIGN_2020_04_02_06_44_COPY_01&amp;utm_medium=email&amp;utm_term=0_e090383b5e-ba1ffda0a7-293264097","Eviction and Foreclosure Moratoriums")</f>
        <v>Eviction and Foreclosure Moratoriums</v>
      </c>
      <c r="G497" s="38" t="s">
        <v>10</v>
      </c>
      <c r="H497" s="52"/>
      <c r="I497" s="52"/>
      <c r="J497" s="52"/>
      <c r="K497" s="52"/>
      <c r="L497" s="52"/>
      <c r="M497" s="52"/>
      <c r="N497" s="52"/>
      <c r="O497" s="52"/>
      <c r="P497" s="52"/>
      <c r="Q497" s="52"/>
      <c r="R497" s="52"/>
      <c r="S497" s="52"/>
      <c r="T497" s="52"/>
      <c r="U497" s="52"/>
      <c r="V497" s="52"/>
      <c r="W497" s="52"/>
      <c r="X497" s="52"/>
      <c r="Y497" s="52"/>
      <c r="Z497" s="52"/>
    </row>
    <row r="498" spans="1:26" ht="45">
      <c r="A498" s="30" t="s">
        <v>637</v>
      </c>
      <c r="B498" s="38" t="s">
        <v>647</v>
      </c>
      <c r="C498" s="51">
        <v>43986</v>
      </c>
      <c r="D498" s="30" t="s">
        <v>19</v>
      </c>
      <c r="E498" s="30" t="s">
        <v>1049</v>
      </c>
      <c r="F498" s="43" t="s">
        <v>1050</v>
      </c>
      <c r="G498" s="38" t="s">
        <v>10</v>
      </c>
      <c r="H498" s="52"/>
      <c r="I498" s="52"/>
      <c r="J498" s="52"/>
      <c r="K498" s="52"/>
      <c r="L498" s="52"/>
      <c r="M498" s="52"/>
      <c r="N498" s="52"/>
      <c r="O498" s="52"/>
      <c r="P498" s="52"/>
      <c r="Q498" s="52"/>
      <c r="R498" s="52"/>
      <c r="S498" s="52"/>
      <c r="T498" s="52"/>
      <c r="U498" s="52"/>
      <c r="V498" s="52"/>
      <c r="W498" s="52"/>
      <c r="X498" s="52"/>
      <c r="Y498" s="52"/>
      <c r="Z498" s="52"/>
    </row>
    <row r="499" spans="1:26" ht="30">
      <c r="A499" s="30" t="s">
        <v>637</v>
      </c>
      <c r="B499" s="38" t="s">
        <v>1232</v>
      </c>
      <c r="C499" s="51">
        <v>44021</v>
      </c>
      <c r="D499" s="30" t="s">
        <v>49</v>
      </c>
      <c r="E499" s="30" t="s">
        <v>1233</v>
      </c>
      <c r="F499" s="43" t="s">
        <v>1106</v>
      </c>
      <c r="G499" s="38" t="s">
        <v>10</v>
      </c>
      <c r="H499" s="52"/>
      <c r="I499" s="52"/>
      <c r="J499" s="52"/>
      <c r="K499" s="52"/>
      <c r="L499" s="52"/>
      <c r="M499" s="52"/>
      <c r="N499" s="52"/>
      <c r="O499" s="52"/>
      <c r="P499" s="52"/>
      <c r="Q499" s="52"/>
      <c r="R499" s="52"/>
      <c r="S499" s="52"/>
      <c r="T499" s="52"/>
      <c r="U499" s="52"/>
      <c r="V499" s="52"/>
      <c r="W499" s="52"/>
      <c r="X499" s="52"/>
      <c r="Y499" s="52"/>
      <c r="Z499" s="52"/>
    </row>
    <row r="500" spans="1:26" ht="60">
      <c r="A500" s="30" t="s">
        <v>637</v>
      </c>
      <c r="B500" s="38" t="s">
        <v>649</v>
      </c>
      <c r="C500" s="51">
        <v>43906</v>
      </c>
      <c r="D500" s="30" t="s">
        <v>8</v>
      </c>
      <c r="E500" s="30" t="s">
        <v>998</v>
      </c>
      <c r="F500" s="42" t="str">
        <f>HYPERLINK("https://www.cincinnati.com/story/news/crime/crime-and-courts/2020/03/16/coronavirus-hamilton-county-sheriff-release-low-risk-inmates/5062700002/","Order to authorize Hamilton County sheriff to release low-risk, nonviolent jail inmates")</f>
        <v>Order to authorize Hamilton County sheriff to release low-risk, nonviolent jail inmates</v>
      </c>
      <c r="G500" s="38" t="s">
        <v>10</v>
      </c>
      <c r="H500" s="52"/>
      <c r="I500" s="52"/>
      <c r="J500" s="52"/>
      <c r="K500" s="52"/>
      <c r="L500" s="52"/>
      <c r="M500" s="52"/>
      <c r="N500" s="52"/>
      <c r="O500" s="52"/>
      <c r="P500" s="52"/>
      <c r="Q500" s="52"/>
      <c r="R500" s="52"/>
      <c r="S500" s="52"/>
      <c r="T500" s="52"/>
      <c r="U500" s="52"/>
      <c r="V500" s="52"/>
      <c r="W500" s="52"/>
      <c r="X500" s="52"/>
      <c r="Y500" s="52"/>
      <c r="Z500" s="52"/>
    </row>
    <row r="501" spans="1:26" ht="30">
      <c r="A501" s="30" t="s">
        <v>637</v>
      </c>
      <c r="B501" s="38" t="s">
        <v>650</v>
      </c>
      <c r="C501" s="51">
        <v>43923</v>
      </c>
      <c r="D501" s="30" t="s">
        <v>49</v>
      </c>
      <c r="E501" s="30" t="s">
        <v>651</v>
      </c>
      <c r="F501" s="42" t="str">
        <f>HYPERLINK("https://s3.amazonaws.com/fn-document-service/file-by-sha384/bfd3aa1538baf895680935f646636e3e9087250cc7a74aea964a1ca423c9c943421e58dd94a92c148d57353284c55b48#page=","Agenda - Commissioners' Meeting")</f>
        <v>Agenda - Commissioners' Meeting</v>
      </c>
      <c r="G501" s="38" t="s">
        <v>10</v>
      </c>
      <c r="H501" s="52"/>
      <c r="I501" s="52"/>
      <c r="J501" s="52"/>
      <c r="K501" s="52"/>
      <c r="L501" s="52"/>
      <c r="M501" s="52"/>
      <c r="N501" s="52"/>
      <c r="O501" s="52"/>
      <c r="P501" s="52"/>
      <c r="Q501" s="52"/>
      <c r="R501" s="52"/>
      <c r="S501" s="52"/>
      <c r="T501" s="52"/>
      <c r="U501" s="52"/>
      <c r="V501" s="52"/>
      <c r="W501" s="52"/>
      <c r="X501" s="52"/>
      <c r="Y501" s="52"/>
      <c r="Z501" s="52"/>
    </row>
    <row r="502" spans="1:26" ht="60">
      <c r="A502" s="30" t="s">
        <v>637</v>
      </c>
      <c r="B502" s="38" t="s">
        <v>652</v>
      </c>
      <c r="C502" s="51">
        <v>43928</v>
      </c>
      <c r="D502" s="30" t="s">
        <v>49</v>
      </c>
      <c r="E502" s="30" t="s">
        <v>653</v>
      </c>
      <c r="F502" s="42" t="str">
        <f>HYPERLINK("https://s3.amazonaws.com/fn-document-service/file-by-sha384/eed99df937b460e8b57783494645bd93f66f1511c5f003897c5bd4616ab64cbda079b61eee843a4092e9d1484389827c#page=2","Commissioners' Meeting Agenda")</f>
        <v>Commissioners' Meeting Agenda</v>
      </c>
      <c r="G502" s="38" t="s">
        <v>10</v>
      </c>
      <c r="H502" s="52"/>
      <c r="I502" s="52"/>
      <c r="J502" s="52"/>
      <c r="K502" s="52"/>
      <c r="L502" s="52"/>
      <c r="M502" s="52"/>
      <c r="N502" s="52"/>
      <c r="O502" s="52"/>
      <c r="P502" s="52"/>
      <c r="Q502" s="52"/>
      <c r="R502" s="52"/>
      <c r="S502" s="52"/>
      <c r="T502" s="52"/>
      <c r="U502" s="52"/>
      <c r="V502" s="52"/>
      <c r="W502" s="52"/>
      <c r="X502" s="52"/>
      <c r="Y502" s="52"/>
      <c r="Z502" s="52"/>
    </row>
    <row r="503" spans="1:26" ht="105">
      <c r="A503" s="30" t="s">
        <v>637</v>
      </c>
      <c r="B503" s="38" t="s">
        <v>18</v>
      </c>
      <c r="C503" s="51">
        <v>43912</v>
      </c>
      <c r="D503" s="30" t="s">
        <v>243</v>
      </c>
      <c r="E503" s="30" t="s">
        <v>654</v>
      </c>
      <c r="F503" s="42" t="str">
        <f>HYPERLINK("https://coronavirus.ohio.gov/static/DirectorsOrderStayAtHome.pdf","Director's   Order  that  All  Persons  Stay  at  Home  Unless  Engaged  in  Essential  Work  or Activity ")</f>
        <v xml:space="preserve">Director's   Order  that  All  Persons  Stay  at  Home  Unless  Engaged  in  Essential  Work  or Activity </v>
      </c>
      <c r="G503" s="38" t="s">
        <v>10</v>
      </c>
      <c r="H503" s="52"/>
      <c r="I503" s="52"/>
      <c r="J503" s="52"/>
      <c r="K503" s="52"/>
      <c r="L503" s="52"/>
      <c r="M503" s="52"/>
      <c r="N503" s="52"/>
      <c r="O503" s="52"/>
      <c r="P503" s="52"/>
      <c r="Q503" s="52"/>
      <c r="R503" s="52"/>
      <c r="S503" s="52"/>
      <c r="T503" s="52"/>
      <c r="U503" s="52"/>
      <c r="V503" s="52"/>
      <c r="W503" s="52"/>
      <c r="X503" s="52"/>
      <c r="Y503" s="52"/>
      <c r="Z503" s="52"/>
    </row>
    <row r="504" spans="1:26" ht="75">
      <c r="A504" s="30" t="s">
        <v>637</v>
      </c>
      <c r="B504" s="38" t="s">
        <v>18</v>
      </c>
      <c r="C504" s="51">
        <v>43913</v>
      </c>
      <c r="D504" s="30" t="s">
        <v>49</v>
      </c>
      <c r="E504" s="30" t="s">
        <v>999</v>
      </c>
      <c r="F504" s="42" t="str">
        <f>HYPERLINK("https://www.legislature.ohio.gov/legislation/legislation-summary?id=GA133-HB-578","To make an appropriation to support homeless shelters in the state and to provide emergency rental assistance in response to the COVID-19 pandemic, and to declare an emergency.")</f>
        <v>To make an appropriation to support homeless shelters in the state and to provide emergency rental assistance in response to the COVID-19 pandemic, and to declare an emergency.</v>
      </c>
      <c r="G504" s="38" t="s">
        <v>17</v>
      </c>
      <c r="H504" s="52"/>
      <c r="I504" s="52"/>
      <c r="J504" s="52"/>
      <c r="K504" s="52"/>
      <c r="L504" s="52"/>
      <c r="M504" s="52"/>
      <c r="N504" s="52"/>
      <c r="O504" s="52"/>
      <c r="P504" s="52"/>
      <c r="Q504" s="52"/>
      <c r="R504" s="52"/>
      <c r="S504" s="52"/>
      <c r="T504" s="52"/>
      <c r="U504" s="52"/>
      <c r="V504" s="52"/>
      <c r="W504" s="52"/>
      <c r="X504" s="52"/>
      <c r="Y504" s="52"/>
      <c r="Z504" s="52"/>
    </row>
    <row r="505" spans="1:26" ht="30">
      <c r="A505" s="30" t="s">
        <v>637</v>
      </c>
      <c r="B505" s="38" t="s">
        <v>18</v>
      </c>
      <c r="C505" s="51">
        <v>44021</v>
      </c>
      <c r="D505" s="30" t="s">
        <v>49</v>
      </c>
      <c r="E505" s="30" t="s">
        <v>1105</v>
      </c>
      <c r="F505" s="43" t="s">
        <v>1106</v>
      </c>
      <c r="G505" s="38" t="s">
        <v>10</v>
      </c>
      <c r="H505" s="52"/>
      <c r="I505" s="52"/>
      <c r="J505" s="52"/>
      <c r="K505" s="52"/>
      <c r="L505" s="52"/>
      <c r="M505" s="52"/>
      <c r="N505" s="52"/>
      <c r="O505" s="52"/>
      <c r="P505" s="52"/>
      <c r="Q505" s="52"/>
      <c r="R505" s="52"/>
      <c r="S505" s="52"/>
      <c r="T505" s="52"/>
      <c r="U505" s="52"/>
      <c r="V505" s="52"/>
      <c r="W505" s="52"/>
      <c r="X505" s="52"/>
      <c r="Y505" s="52"/>
      <c r="Z505" s="52"/>
    </row>
    <row r="506" spans="1:26" ht="75">
      <c r="A506" s="30" t="s">
        <v>637</v>
      </c>
      <c r="B506" s="38" t="s">
        <v>18</v>
      </c>
      <c r="C506" s="51">
        <v>43918</v>
      </c>
      <c r="D506" s="30" t="s">
        <v>13</v>
      </c>
      <c r="E506" s="30" t="s">
        <v>1196</v>
      </c>
      <c r="F506" s="43" t="s">
        <v>1197</v>
      </c>
      <c r="G506" s="38" t="s">
        <v>10</v>
      </c>
      <c r="H506" s="52"/>
      <c r="I506" s="52"/>
      <c r="J506" s="52"/>
      <c r="K506" s="52"/>
      <c r="L506" s="52"/>
      <c r="M506" s="52"/>
      <c r="N506" s="52"/>
      <c r="O506" s="52"/>
      <c r="P506" s="52"/>
      <c r="Q506" s="52"/>
      <c r="R506" s="52"/>
      <c r="S506" s="52"/>
      <c r="T506" s="52"/>
      <c r="U506" s="52"/>
      <c r="V506" s="52"/>
      <c r="W506" s="52"/>
      <c r="X506" s="52"/>
      <c r="Y506" s="52"/>
      <c r="Z506" s="52"/>
    </row>
    <row r="507" spans="1:26" ht="45">
      <c r="A507" s="30" t="s">
        <v>637</v>
      </c>
      <c r="B507" s="38" t="s">
        <v>18</v>
      </c>
      <c r="C507" s="51">
        <v>43910</v>
      </c>
      <c r="D507" s="30" t="s">
        <v>8</v>
      </c>
      <c r="E507" s="30" t="s">
        <v>655</v>
      </c>
      <c r="F507" s="43" t="s">
        <v>656</v>
      </c>
      <c r="G507" s="38" t="s">
        <v>10</v>
      </c>
      <c r="H507" s="52"/>
      <c r="I507" s="52"/>
      <c r="J507" s="52"/>
      <c r="K507" s="52"/>
      <c r="L507" s="52"/>
      <c r="M507" s="52"/>
      <c r="N507" s="52"/>
      <c r="O507" s="52"/>
      <c r="P507" s="52"/>
      <c r="Q507" s="52"/>
      <c r="R507" s="52"/>
      <c r="S507" s="52"/>
      <c r="T507" s="52"/>
      <c r="U507" s="52"/>
      <c r="V507" s="52"/>
      <c r="W507" s="52"/>
      <c r="X507" s="52"/>
      <c r="Y507" s="52"/>
      <c r="Z507" s="52"/>
    </row>
    <row r="508" spans="1:26" ht="45">
      <c r="A508" s="30" t="s">
        <v>637</v>
      </c>
      <c r="B508" s="38" t="s">
        <v>18</v>
      </c>
      <c r="C508" s="51">
        <v>43924</v>
      </c>
      <c r="D508" s="30" t="s">
        <v>8</v>
      </c>
      <c r="E508" s="30" t="s">
        <v>657</v>
      </c>
      <c r="F508" s="43" t="s">
        <v>658</v>
      </c>
      <c r="G508" s="38" t="s">
        <v>10</v>
      </c>
      <c r="H508" s="52"/>
      <c r="I508" s="52"/>
      <c r="J508" s="52"/>
      <c r="K508" s="52"/>
      <c r="L508" s="52"/>
      <c r="M508" s="52"/>
      <c r="N508" s="52"/>
      <c r="O508" s="52"/>
      <c r="P508" s="52"/>
      <c r="Q508" s="52"/>
      <c r="R508" s="52"/>
      <c r="S508" s="52"/>
      <c r="T508" s="52"/>
      <c r="U508" s="52"/>
      <c r="V508" s="52"/>
      <c r="W508" s="52"/>
      <c r="X508" s="52"/>
      <c r="Y508" s="52"/>
      <c r="Z508" s="52"/>
    </row>
    <row r="509" spans="1:26" ht="45">
      <c r="A509" s="30" t="s">
        <v>637</v>
      </c>
      <c r="B509" s="38" t="s">
        <v>659</v>
      </c>
      <c r="C509" s="51">
        <v>43984</v>
      </c>
      <c r="D509" s="30" t="s">
        <v>13</v>
      </c>
      <c r="E509" s="30" t="s">
        <v>660</v>
      </c>
      <c r="F509" s="43" t="s">
        <v>661</v>
      </c>
      <c r="G509" s="38" t="s">
        <v>10</v>
      </c>
      <c r="H509" s="52"/>
      <c r="I509" s="52"/>
      <c r="J509" s="52"/>
      <c r="K509" s="52"/>
      <c r="L509" s="52"/>
      <c r="M509" s="52"/>
      <c r="N509" s="52"/>
      <c r="O509" s="52"/>
      <c r="P509" s="52"/>
      <c r="Q509" s="52"/>
      <c r="R509" s="52"/>
      <c r="S509" s="52"/>
      <c r="T509" s="52"/>
      <c r="U509" s="52"/>
      <c r="V509" s="52"/>
      <c r="W509" s="52"/>
      <c r="X509" s="52"/>
      <c r="Y509" s="52"/>
      <c r="Z509" s="52"/>
    </row>
    <row r="510" spans="1:26" ht="45">
      <c r="A510" s="30" t="s">
        <v>662</v>
      </c>
      <c r="B510" s="38" t="s">
        <v>665</v>
      </c>
      <c r="C510" s="51">
        <v>43935</v>
      </c>
      <c r="D510" s="30" t="s">
        <v>19</v>
      </c>
      <c r="E510" s="30" t="s">
        <v>666</v>
      </c>
      <c r="F510" s="42" t="str">
        <f>HYPERLINK("https://s3.amazonaws.com/fn-document-service/file-by-sha384/7d22415793b1602a1ef6d03e5a830c13f8ef7b8b9fd21b6d721c2accca4681cf95d823e716e856da20f127d6e5301aaf#page=12","City Council Agenda")</f>
        <v>City Council Agenda</v>
      </c>
      <c r="G510" s="38" t="s">
        <v>10</v>
      </c>
      <c r="H510" s="52"/>
      <c r="I510" s="52"/>
      <c r="J510" s="52"/>
      <c r="K510" s="52"/>
      <c r="L510" s="52"/>
      <c r="M510" s="52"/>
      <c r="N510" s="52"/>
      <c r="O510" s="52"/>
      <c r="P510" s="52"/>
      <c r="Q510" s="52"/>
      <c r="R510" s="52"/>
      <c r="S510" s="52"/>
      <c r="T510" s="52"/>
      <c r="U510" s="52"/>
      <c r="V510" s="52"/>
      <c r="W510" s="52"/>
      <c r="X510" s="52"/>
      <c r="Y510" s="52"/>
      <c r="Z510" s="52"/>
    </row>
    <row r="511" spans="1:26" ht="45">
      <c r="A511" s="30" t="s">
        <v>662</v>
      </c>
      <c r="B511" s="38" t="s">
        <v>663</v>
      </c>
      <c r="C511" s="51">
        <v>43908</v>
      </c>
      <c r="D511" s="30" t="s">
        <v>19</v>
      </c>
      <c r="E511" s="30" t="s">
        <v>664</v>
      </c>
      <c r="F511" s="42" t="str">
        <f>HYPERLINK("https://www.kosu.org/post/oklahoma-county-suspends-evictions-amid-coronavirus-pandemic","Oklahoma County Suspends Evictions Amid Coronavirus Pandemic")</f>
        <v>Oklahoma County Suspends Evictions Amid Coronavirus Pandemic</v>
      </c>
      <c r="G511" s="38" t="s">
        <v>10</v>
      </c>
      <c r="H511" s="52"/>
      <c r="I511" s="52"/>
      <c r="J511" s="52"/>
      <c r="K511" s="52"/>
      <c r="L511" s="52"/>
      <c r="M511" s="52"/>
      <c r="N511" s="52"/>
      <c r="O511" s="52"/>
      <c r="P511" s="52"/>
      <c r="Q511" s="52"/>
      <c r="R511" s="52"/>
      <c r="S511" s="52"/>
      <c r="T511" s="52"/>
      <c r="U511" s="52"/>
      <c r="V511" s="52"/>
      <c r="W511" s="52"/>
      <c r="X511" s="52"/>
      <c r="Y511" s="52"/>
      <c r="Z511" s="52"/>
    </row>
    <row r="512" spans="1:26" ht="32.25" customHeight="1">
      <c r="A512" s="30" t="s">
        <v>662</v>
      </c>
      <c r="B512" s="38" t="s">
        <v>667</v>
      </c>
      <c r="C512" s="51">
        <v>43908</v>
      </c>
      <c r="D512" s="30" t="s">
        <v>19</v>
      </c>
      <c r="E512" s="30" t="s">
        <v>668</v>
      </c>
      <c r="F512" s="42" t="str">
        <f>HYPERLINK("https://www.kosu.org/post/oklahoma-county-suspends-evictions-amid-coronavirus-pandemic","Oklahoma County Suspends Evictions Amid Coronavirus Pandemic")</f>
        <v>Oklahoma County Suspends Evictions Amid Coronavirus Pandemic</v>
      </c>
      <c r="G512" s="38" t="s">
        <v>10</v>
      </c>
      <c r="H512" s="52"/>
      <c r="I512" s="52"/>
      <c r="J512" s="52"/>
      <c r="K512" s="52"/>
      <c r="L512" s="52"/>
      <c r="M512" s="52"/>
      <c r="N512" s="52"/>
      <c r="O512" s="52"/>
      <c r="P512" s="52"/>
      <c r="Q512" s="52"/>
      <c r="R512" s="52"/>
      <c r="S512" s="52"/>
      <c r="T512" s="52"/>
      <c r="U512" s="52"/>
      <c r="V512" s="52"/>
      <c r="W512" s="52"/>
      <c r="X512" s="52"/>
      <c r="Y512" s="52"/>
      <c r="Z512" s="52"/>
    </row>
    <row r="513" spans="1:26" ht="45">
      <c r="A513" s="30" t="s">
        <v>662</v>
      </c>
      <c r="B513" s="38" t="s">
        <v>667</v>
      </c>
      <c r="C513" s="51">
        <v>43936</v>
      </c>
      <c r="D513" s="30" t="s">
        <v>19</v>
      </c>
      <c r="E513" s="30" t="s">
        <v>669</v>
      </c>
      <c r="F513" s="42" t="str">
        <f>HYPERLINK("https://ktul.com/news/local/tulsa-housing-authority-waives-rent-payments","Tulsa Housing Authority waives rent payments through end of May")</f>
        <v>Tulsa Housing Authority waives rent payments through end of May</v>
      </c>
      <c r="G513" s="38" t="s">
        <v>10</v>
      </c>
      <c r="H513" s="52"/>
      <c r="I513" s="52"/>
      <c r="J513" s="52"/>
      <c r="K513" s="52"/>
      <c r="L513" s="52"/>
      <c r="M513" s="52"/>
      <c r="N513" s="52"/>
      <c r="O513" s="52"/>
      <c r="P513" s="52"/>
      <c r="Q513" s="52"/>
      <c r="R513" s="52"/>
      <c r="S513" s="52"/>
      <c r="T513" s="52"/>
      <c r="U513" s="52"/>
      <c r="V513" s="52"/>
      <c r="W513" s="52"/>
      <c r="X513" s="52"/>
      <c r="Y513" s="52"/>
      <c r="Z513" s="52"/>
    </row>
    <row r="514" spans="1:26" ht="30">
      <c r="A514" s="30" t="s">
        <v>662</v>
      </c>
      <c r="B514" s="38" t="s">
        <v>670</v>
      </c>
      <c r="C514" s="51">
        <v>43912</v>
      </c>
      <c r="D514" s="30" t="s">
        <v>8</v>
      </c>
      <c r="E514" s="30" t="s">
        <v>671</v>
      </c>
      <c r="F514" s="42" t="str">
        <f>HYPERLINK("https://www.enidnews.com/news/local_news/doc-stops-accepting-newly-sentenced-state-prisoners/article_ea6a42a4-47c1-5dbc-9446-5dec46032c5d.html","DOC stops accepting newly sentenced state prisoners")</f>
        <v>DOC stops accepting newly sentenced state prisoners</v>
      </c>
      <c r="G514" s="38" t="s">
        <v>10</v>
      </c>
      <c r="H514" s="52"/>
      <c r="I514" s="52"/>
      <c r="J514" s="52"/>
      <c r="K514" s="52"/>
      <c r="L514" s="52"/>
      <c r="M514" s="52"/>
      <c r="N514" s="52"/>
      <c r="O514" s="52"/>
      <c r="P514" s="52"/>
      <c r="Q514" s="52"/>
      <c r="R514" s="52"/>
      <c r="S514" s="52"/>
      <c r="T514" s="52"/>
      <c r="U514" s="52"/>
      <c r="V514" s="52"/>
      <c r="W514" s="52"/>
      <c r="X514" s="52"/>
      <c r="Y514" s="52"/>
      <c r="Z514" s="52"/>
    </row>
    <row r="515" spans="1:26">
      <c r="A515" s="30" t="s">
        <v>672</v>
      </c>
      <c r="B515" s="38" t="s">
        <v>673</v>
      </c>
      <c r="C515" s="51">
        <v>43907</v>
      </c>
      <c r="D515" s="30" t="s">
        <v>19</v>
      </c>
      <c r="E515" s="30" t="s">
        <v>674</v>
      </c>
      <c r="F515" s="42" t="str">
        <f>HYPERLINK("https://s3.amazonaws.com/fn-document-service/file-by-sha384/8f86b1f3c4bb505cd73bc12f8379edf5e2753c024575e373bdfcee3c43d259332ea4f6846cab85e7882a7ee937afabd9#page=","City Council Agenda")</f>
        <v>City Council Agenda</v>
      </c>
      <c r="G515" s="38" t="s">
        <v>10</v>
      </c>
      <c r="H515" s="52"/>
      <c r="I515" s="52"/>
      <c r="J515" s="52"/>
      <c r="K515" s="52"/>
      <c r="L515" s="52"/>
      <c r="M515" s="52"/>
      <c r="N515" s="52"/>
      <c r="O515" s="52"/>
      <c r="P515" s="52"/>
      <c r="Q515" s="52"/>
      <c r="R515" s="52"/>
      <c r="S515" s="52"/>
      <c r="T515" s="52"/>
      <c r="U515" s="52"/>
      <c r="V515" s="52"/>
      <c r="W515" s="52"/>
      <c r="X515" s="52"/>
      <c r="Y515" s="52"/>
      <c r="Z515" s="52"/>
    </row>
    <row r="516" spans="1:26" ht="30">
      <c r="A516" s="30" t="s">
        <v>672</v>
      </c>
      <c r="B516" s="38" t="s">
        <v>675</v>
      </c>
      <c r="C516" s="51">
        <v>43921</v>
      </c>
      <c r="D516" s="30" t="s">
        <v>40</v>
      </c>
      <c r="E516" s="30" t="s">
        <v>676</v>
      </c>
      <c r="F516" s="42" t="str">
        <f>HYPERLINK("https://s3.amazonaws.com/fn-document-service/file-by-sha384/7e43f1f401e1b69bf2a3b52cb8889dcfc5d099a05c6418fa11b53ef8b222f5f195ca654a29df700b831a317b2bff2a31#page=1","City Council Agenda")</f>
        <v>City Council Agenda</v>
      </c>
      <c r="G516" s="38" t="s">
        <v>10</v>
      </c>
      <c r="H516" s="52"/>
      <c r="I516" s="52"/>
      <c r="J516" s="52"/>
      <c r="K516" s="52"/>
      <c r="L516" s="52"/>
      <c r="M516" s="52"/>
      <c r="N516" s="52"/>
      <c r="O516" s="52"/>
      <c r="P516" s="52"/>
      <c r="Q516" s="52"/>
      <c r="R516" s="52"/>
      <c r="S516" s="52"/>
      <c r="T516" s="52"/>
      <c r="U516" s="52"/>
      <c r="V516" s="52"/>
      <c r="W516" s="52"/>
      <c r="X516" s="52"/>
      <c r="Y516" s="52"/>
      <c r="Z516" s="52"/>
    </row>
    <row r="517" spans="1:26" ht="60.75" customHeight="1">
      <c r="A517" s="30" t="s">
        <v>672</v>
      </c>
      <c r="B517" s="38" t="s">
        <v>675</v>
      </c>
      <c r="C517" s="51">
        <v>43934</v>
      </c>
      <c r="D517" s="30" t="s">
        <v>13</v>
      </c>
      <c r="E517" s="30" t="s">
        <v>677</v>
      </c>
      <c r="F517" s="42" t="str">
        <f>HYPERLINK("https://www.hillsboro-oregon.gov/our-city/covid-19/community-resources","COVID-19 Community Resources")</f>
        <v>COVID-19 Community Resources</v>
      </c>
      <c r="G517" s="38" t="s">
        <v>10</v>
      </c>
      <c r="H517" s="52"/>
      <c r="I517" s="52"/>
      <c r="J517" s="52"/>
      <c r="K517" s="52"/>
      <c r="L517" s="52"/>
      <c r="M517" s="52"/>
      <c r="N517" s="52"/>
      <c r="O517" s="52"/>
      <c r="P517" s="52"/>
      <c r="Q517" s="52"/>
      <c r="R517" s="52"/>
      <c r="S517" s="52"/>
      <c r="T517" s="52"/>
      <c r="U517" s="52"/>
      <c r="V517" s="52"/>
      <c r="W517" s="52"/>
      <c r="X517" s="52"/>
      <c r="Y517" s="52"/>
      <c r="Z517" s="52"/>
    </row>
    <row r="518" spans="1:26" ht="45">
      <c r="A518" s="30" t="s">
        <v>672</v>
      </c>
      <c r="B518" s="38" t="s">
        <v>678</v>
      </c>
      <c r="C518" s="51">
        <v>43956</v>
      </c>
      <c r="D518" s="30" t="s">
        <v>13</v>
      </c>
      <c r="E518" s="30" t="s">
        <v>679</v>
      </c>
      <c r="F518" s="43" t="s">
        <v>680</v>
      </c>
      <c r="G518" s="38" t="s">
        <v>10</v>
      </c>
      <c r="H518" s="52"/>
      <c r="I518" s="52"/>
      <c r="J518" s="52"/>
      <c r="K518" s="52"/>
      <c r="L518" s="52"/>
      <c r="M518" s="52"/>
      <c r="N518" s="52"/>
      <c r="O518" s="52"/>
      <c r="P518" s="52"/>
      <c r="Q518" s="52"/>
      <c r="R518" s="52"/>
      <c r="S518" s="52"/>
      <c r="T518" s="52"/>
      <c r="U518" s="52"/>
      <c r="V518" s="52"/>
      <c r="W518" s="52"/>
      <c r="X518" s="52"/>
      <c r="Y518" s="52"/>
      <c r="Z518" s="52"/>
    </row>
    <row r="519" spans="1:26" ht="33" customHeight="1">
      <c r="A519" s="30" t="s">
        <v>672</v>
      </c>
      <c r="B519" s="38" t="s">
        <v>681</v>
      </c>
      <c r="C519" s="51">
        <v>43921</v>
      </c>
      <c r="D519" s="30" t="s">
        <v>40</v>
      </c>
      <c r="E519" s="30" t="s">
        <v>682</v>
      </c>
      <c r="F519" s="42" t="str">
        <f>HYPERLINK("https://s3.amazonaws.com/fn-document-service/file-by-sha384/f9bbb64c03976602f7ecd13d2c6b16ad0129acd38b1f4348ffc98cead655e72aa20ec335d2f6611e7fd85f3adeb67abd#page=","Board of Commisioners Agenda")</f>
        <v>Board of Commisioners Agenda</v>
      </c>
      <c r="G519" s="38" t="s">
        <v>10</v>
      </c>
      <c r="H519" s="52"/>
      <c r="I519" s="52"/>
      <c r="J519" s="52"/>
      <c r="K519" s="52"/>
      <c r="L519" s="52"/>
      <c r="M519" s="52"/>
      <c r="N519" s="52"/>
      <c r="O519" s="52"/>
      <c r="P519" s="52"/>
      <c r="Q519" s="52"/>
      <c r="R519" s="52"/>
      <c r="S519" s="52"/>
      <c r="T519" s="52"/>
      <c r="U519" s="52"/>
      <c r="V519" s="52"/>
      <c r="W519" s="52"/>
      <c r="X519" s="52"/>
      <c r="Y519" s="52"/>
      <c r="Z519" s="52"/>
    </row>
    <row r="520" spans="1:26" ht="45">
      <c r="A520" s="30" t="s">
        <v>672</v>
      </c>
      <c r="B520" s="38" t="s">
        <v>681</v>
      </c>
      <c r="C520" s="51">
        <v>43972</v>
      </c>
      <c r="D520" s="30" t="s">
        <v>13</v>
      </c>
      <c r="E520" s="30" t="s">
        <v>683</v>
      </c>
      <c r="F520" s="43" t="s">
        <v>684</v>
      </c>
      <c r="G520" s="38" t="s">
        <v>10</v>
      </c>
      <c r="H520" s="52"/>
      <c r="I520" s="52"/>
      <c r="J520" s="52"/>
      <c r="K520" s="52"/>
      <c r="L520" s="52"/>
      <c r="M520" s="52"/>
      <c r="N520" s="52"/>
      <c r="O520" s="52"/>
      <c r="P520" s="52"/>
      <c r="Q520" s="52"/>
      <c r="R520" s="52"/>
      <c r="S520" s="52"/>
      <c r="T520" s="52"/>
      <c r="U520" s="52"/>
      <c r="V520" s="52"/>
      <c r="W520" s="52"/>
      <c r="X520" s="52"/>
      <c r="Y520" s="52"/>
      <c r="Z520" s="52"/>
    </row>
    <row r="521" spans="1:26" ht="30">
      <c r="A521" s="30" t="s">
        <v>672</v>
      </c>
      <c r="B521" s="38" t="s">
        <v>685</v>
      </c>
      <c r="C521" s="51">
        <v>43944</v>
      </c>
      <c r="D521" s="30" t="s">
        <v>40</v>
      </c>
      <c r="E521" s="30" t="s">
        <v>686</v>
      </c>
      <c r="F521" s="42" t="s">
        <v>687</v>
      </c>
      <c r="G521" s="38" t="s">
        <v>10</v>
      </c>
      <c r="H521" s="52"/>
      <c r="I521" s="52"/>
      <c r="J521" s="52"/>
      <c r="K521" s="52"/>
      <c r="L521" s="52"/>
      <c r="M521" s="52"/>
      <c r="N521" s="52"/>
      <c r="O521" s="52"/>
      <c r="P521" s="52"/>
      <c r="Q521" s="52"/>
      <c r="R521" s="52"/>
      <c r="S521" s="52"/>
      <c r="T521" s="52"/>
      <c r="U521" s="52"/>
      <c r="V521" s="52"/>
      <c r="W521" s="52"/>
      <c r="X521" s="52"/>
      <c r="Y521" s="52"/>
      <c r="Z521" s="52"/>
    </row>
    <row r="522" spans="1:26" ht="106.5" customHeight="1">
      <c r="A522" s="30" t="s">
        <v>672</v>
      </c>
      <c r="B522" s="38" t="s">
        <v>688</v>
      </c>
      <c r="C522" s="51">
        <v>43901</v>
      </c>
      <c r="D522" s="30" t="s">
        <v>19</v>
      </c>
      <c r="E522" s="30" t="s">
        <v>689</v>
      </c>
      <c r="F522" s="42" t="str">
        <f>HYPERLINK("https://beta.portland.gov/sites/default/files/2020-03/executive-rule-amending-emergency-declaration-addendum.pdf","MULTNOMAH COUNTY, OREGON
EXECUTIVE RULE NO. 388 ADDENDUM
Declaration of Emergency- Additional Measures")</f>
        <v>MULTNOMAH COUNTY, OREGON
EXECUTIVE RULE NO. 388 ADDENDUM
Declaration of Emergency- Additional Measures</v>
      </c>
      <c r="G522" s="38" t="s">
        <v>10</v>
      </c>
      <c r="H522" s="52"/>
      <c r="I522" s="52"/>
      <c r="J522" s="52"/>
      <c r="K522" s="52"/>
      <c r="L522" s="52"/>
      <c r="M522" s="52"/>
      <c r="N522" s="52"/>
      <c r="O522" s="52"/>
      <c r="P522" s="52"/>
      <c r="Q522" s="52"/>
      <c r="R522" s="52"/>
      <c r="S522" s="52"/>
      <c r="T522" s="52"/>
      <c r="U522" s="52"/>
      <c r="V522" s="52"/>
      <c r="W522" s="52"/>
      <c r="X522" s="52"/>
      <c r="Y522" s="52"/>
      <c r="Z522" s="52"/>
    </row>
    <row r="523" spans="1:26" ht="60.75" customHeight="1">
      <c r="A523" s="30" t="s">
        <v>672</v>
      </c>
      <c r="B523" s="38" t="s">
        <v>444</v>
      </c>
      <c r="C523" s="51">
        <v>43979</v>
      </c>
      <c r="D523" s="30" t="s">
        <v>13</v>
      </c>
      <c r="E523" s="30" t="s">
        <v>690</v>
      </c>
      <c r="F523" s="43" t="s">
        <v>691</v>
      </c>
      <c r="G523" s="38" t="s">
        <v>10</v>
      </c>
      <c r="H523" s="52"/>
      <c r="I523" s="52"/>
      <c r="J523" s="52"/>
      <c r="K523" s="52"/>
      <c r="L523" s="52"/>
      <c r="M523" s="52"/>
      <c r="N523" s="52"/>
      <c r="O523" s="52"/>
      <c r="P523" s="52"/>
      <c r="Q523" s="52"/>
      <c r="R523" s="52"/>
      <c r="S523" s="52"/>
      <c r="T523" s="52"/>
      <c r="U523" s="52"/>
      <c r="V523" s="52"/>
      <c r="W523" s="52"/>
      <c r="X523" s="52"/>
      <c r="Y523" s="52"/>
      <c r="Z523" s="52"/>
    </row>
    <row r="524" spans="1:26" ht="60.75" customHeight="1">
      <c r="A524" s="30" t="s">
        <v>672</v>
      </c>
      <c r="B524" s="38" t="s">
        <v>444</v>
      </c>
      <c r="C524" s="51">
        <v>44050</v>
      </c>
      <c r="D524" s="30" t="s">
        <v>13</v>
      </c>
      <c r="E524" s="30" t="s">
        <v>1413</v>
      </c>
      <c r="F524" s="43" t="s">
        <v>1414</v>
      </c>
      <c r="G524" s="38" t="s">
        <v>10</v>
      </c>
      <c r="H524" s="52"/>
      <c r="I524" s="52"/>
      <c r="J524" s="52"/>
      <c r="K524" s="52"/>
      <c r="L524" s="52"/>
      <c r="M524" s="52"/>
      <c r="N524" s="52"/>
      <c r="O524" s="52"/>
      <c r="P524" s="52"/>
      <c r="Q524" s="52"/>
      <c r="R524" s="52"/>
      <c r="S524" s="52"/>
      <c r="T524" s="52"/>
      <c r="U524" s="52"/>
      <c r="V524" s="52"/>
      <c r="W524" s="52"/>
      <c r="X524" s="52"/>
      <c r="Y524" s="52"/>
      <c r="Z524" s="52"/>
    </row>
    <row r="525" spans="1:26" ht="60.75" customHeight="1">
      <c r="A525" s="30" t="s">
        <v>672</v>
      </c>
      <c r="B525" s="38" t="s">
        <v>444</v>
      </c>
      <c r="C525" s="51">
        <v>44127</v>
      </c>
      <c r="D525" s="30" t="s">
        <v>13</v>
      </c>
      <c r="E525" s="30" t="s">
        <v>1476</v>
      </c>
      <c r="F525" s="43" t="s">
        <v>1477</v>
      </c>
      <c r="G525" s="38" t="s">
        <v>10</v>
      </c>
      <c r="H525" s="52"/>
      <c r="I525" s="52"/>
      <c r="J525" s="52"/>
      <c r="K525" s="52"/>
      <c r="L525" s="52"/>
      <c r="M525" s="52"/>
      <c r="N525" s="52"/>
      <c r="O525" s="52"/>
      <c r="P525" s="52"/>
      <c r="Q525" s="52"/>
      <c r="R525" s="52"/>
      <c r="S525" s="52"/>
      <c r="T525" s="52"/>
      <c r="U525" s="52"/>
      <c r="V525" s="52"/>
      <c r="W525" s="52"/>
      <c r="X525" s="52"/>
      <c r="Y525" s="52"/>
      <c r="Z525" s="52"/>
    </row>
    <row r="526" spans="1:26" ht="60.75" customHeight="1">
      <c r="A526" s="30" t="s">
        <v>672</v>
      </c>
      <c r="B526" s="38" t="s">
        <v>18</v>
      </c>
      <c r="C526" s="51">
        <v>44102</v>
      </c>
      <c r="D526" s="30" t="s">
        <v>19</v>
      </c>
      <c r="E526" s="30" t="s">
        <v>1418</v>
      </c>
      <c r="F526" s="43" t="str">
        <f>HYPERLINK("https://s3.amazonaws.com/fn-document-service/file-by-sha384/fa22390c84c4a81674321ec93534c7ff10a7ec8e0bcb819c7d5e3765ec0280e18d004855fdae1d3c7d39b34a4a3b28b2","Temporary Moratorium on Residential Evictions for Nonpayment, in Response to COVID-19 and Wildfire Emergencies")</f>
        <v>Temporary Moratorium on Residential Evictions for Nonpayment, in Response to COVID-19 and Wildfire Emergencies</v>
      </c>
      <c r="G526" s="38" t="s">
        <v>10</v>
      </c>
      <c r="H526" s="52"/>
      <c r="I526" s="52"/>
      <c r="J526" s="52"/>
      <c r="K526" s="52"/>
      <c r="L526" s="52"/>
      <c r="M526" s="52"/>
      <c r="N526" s="52"/>
      <c r="O526" s="52"/>
      <c r="P526" s="52"/>
      <c r="Q526" s="52"/>
      <c r="R526" s="52"/>
      <c r="S526" s="52"/>
      <c r="T526" s="52"/>
      <c r="U526" s="52"/>
      <c r="V526" s="52"/>
      <c r="W526" s="52"/>
      <c r="X526" s="52"/>
      <c r="Y526" s="52"/>
      <c r="Z526" s="52"/>
    </row>
    <row r="527" spans="1:26" ht="45">
      <c r="A527" s="30" t="s">
        <v>672</v>
      </c>
      <c r="B527" s="38" t="s">
        <v>18</v>
      </c>
      <c r="C527" s="51">
        <v>43943</v>
      </c>
      <c r="D527" s="30" t="s">
        <v>13</v>
      </c>
      <c r="E527" s="30" t="s">
        <v>692</v>
      </c>
      <c r="F527" s="43" t="s">
        <v>693</v>
      </c>
      <c r="G527" s="38" t="s">
        <v>10</v>
      </c>
      <c r="H527" s="52"/>
      <c r="I527" s="52"/>
      <c r="J527" s="52"/>
      <c r="K527" s="52"/>
      <c r="L527" s="52"/>
      <c r="M527" s="52"/>
      <c r="N527" s="52"/>
      <c r="O527" s="52"/>
      <c r="P527" s="52"/>
      <c r="Q527" s="52"/>
      <c r="R527" s="52"/>
      <c r="S527" s="52"/>
      <c r="T527" s="52"/>
      <c r="U527" s="52"/>
      <c r="V527" s="52"/>
      <c r="W527" s="52"/>
      <c r="X527" s="52"/>
      <c r="Y527" s="52"/>
      <c r="Z527" s="52"/>
    </row>
    <row r="528" spans="1:26" ht="30">
      <c r="A528" s="30" t="s">
        <v>672</v>
      </c>
      <c r="B528" s="38" t="s">
        <v>18</v>
      </c>
      <c r="C528" s="51">
        <v>43944</v>
      </c>
      <c r="D528" s="30" t="s">
        <v>13</v>
      </c>
      <c r="E528" s="30" t="s">
        <v>694</v>
      </c>
      <c r="F528" s="74" t="s">
        <v>695</v>
      </c>
      <c r="G528" s="38" t="s">
        <v>10</v>
      </c>
      <c r="H528" s="52"/>
      <c r="I528" s="52"/>
      <c r="J528" s="52"/>
      <c r="K528" s="52"/>
      <c r="L528" s="52"/>
      <c r="M528" s="52"/>
      <c r="N528" s="52"/>
      <c r="O528" s="52"/>
      <c r="P528" s="52"/>
      <c r="Q528" s="52"/>
      <c r="R528" s="52"/>
      <c r="S528" s="52"/>
      <c r="T528" s="52"/>
      <c r="U528" s="52"/>
      <c r="V528" s="52"/>
      <c r="W528" s="52"/>
      <c r="X528" s="52"/>
      <c r="Y528" s="52"/>
      <c r="Z528" s="52"/>
    </row>
    <row r="529" spans="1:26" ht="45">
      <c r="A529" s="30" t="s">
        <v>672</v>
      </c>
      <c r="B529" s="38" t="s">
        <v>18</v>
      </c>
      <c r="C529" s="51">
        <v>43988</v>
      </c>
      <c r="D529" s="30" t="s">
        <v>13</v>
      </c>
      <c r="E529" s="58" t="s">
        <v>990</v>
      </c>
      <c r="F529" s="40" t="s">
        <v>991</v>
      </c>
      <c r="G529" s="46" t="s">
        <v>10</v>
      </c>
      <c r="H529" s="52"/>
      <c r="I529" s="52"/>
      <c r="J529" s="52"/>
      <c r="K529" s="52"/>
      <c r="L529" s="52"/>
      <c r="M529" s="52"/>
      <c r="N529" s="52"/>
      <c r="O529" s="52"/>
      <c r="P529" s="52"/>
      <c r="Q529" s="52"/>
      <c r="R529" s="52"/>
      <c r="S529" s="52"/>
      <c r="T529" s="52"/>
      <c r="U529" s="52"/>
      <c r="V529" s="52"/>
      <c r="W529" s="52"/>
      <c r="X529" s="52"/>
      <c r="Y529" s="52"/>
      <c r="Z529" s="52"/>
    </row>
    <row r="530" spans="1:26" ht="45">
      <c r="A530" s="30" t="s">
        <v>672</v>
      </c>
      <c r="B530" s="38" t="s">
        <v>696</v>
      </c>
      <c r="C530" s="51">
        <v>43973</v>
      </c>
      <c r="D530" s="30" t="s">
        <v>13</v>
      </c>
      <c r="E530" s="58" t="s">
        <v>697</v>
      </c>
      <c r="F530" s="40" t="s">
        <v>698</v>
      </c>
      <c r="G530" s="46" t="s">
        <v>10</v>
      </c>
      <c r="H530" s="52"/>
      <c r="I530" s="52"/>
      <c r="J530" s="52"/>
      <c r="K530" s="52"/>
      <c r="L530" s="52"/>
      <c r="M530" s="52"/>
      <c r="N530" s="52"/>
      <c r="O530" s="52"/>
      <c r="P530" s="52"/>
      <c r="Q530" s="52"/>
      <c r="R530" s="52"/>
      <c r="S530" s="52"/>
      <c r="T530" s="52"/>
      <c r="U530" s="52"/>
      <c r="V530" s="52"/>
      <c r="W530" s="52"/>
      <c r="X530" s="52"/>
      <c r="Y530" s="52"/>
      <c r="Z530" s="52"/>
    </row>
    <row r="531" spans="1:26" ht="30">
      <c r="A531" s="30" t="s">
        <v>699</v>
      </c>
      <c r="B531" s="38" t="s">
        <v>700</v>
      </c>
      <c r="C531" s="51">
        <v>43923</v>
      </c>
      <c r="D531" s="30" t="s">
        <v>8</v>
      </c>
      <c r="E531" s="30" t="s">
        <v>701</v>
      </c>
      <c r="F531" s="48" t="str">
        <f>HYPERLINK("https://www.wtae.com/article/inmates-released-from-allegheny-county-jail-due-to-coronavirus-concerns/31953103#","701 inmates released from Allegheny County Jail due to coronavirus concerns")</f>
        <v>701 inmates released from Allegheny County Jail due to coronavirus concerns</v>
      </c>
      <c r="G531" s="38" t="s">
        <v>10</v>
      </c>
      <c r="H531" s="52"/>
      <c r="I531" s="52"/>
      <c r="J531" s="52"/>
      <c r="K531" s="52"/>
      <c r="L531" s="52"/>
      <c r="M531" s="52"/>
      <c r="N531" s="52"/>
      <c r="O531" s="52"/>
      <c r="P531" s="52"/>
      <c r="Q531" s="52"/>
      <c r="R531" s="52"/>
      <c r="S531" s="52"/>
      <c r="T531" s="52"/>
      <c r="U531" s="52"/>
      <c r="V531" s="52"/>
      <c r="W531" s="52"/>
      <c r="X531" s="52"/>
      <c r="Y531" s="52"/>
      <c r="Z531" s="52"/>
    </row>
    <row r="532" spans="1:26" ht="60">
      <c r="A532" s="30" t="s">
        <v>699</v>
      </c>
      <c r="B532" s="38" t="s">
        <v>702</v>
      </c>
      <c r="C532" s="51">
        <v>43956</v>
      </c>
      <c r="D532" s="30" t="s">
        <v>13</v>
      </c>
      <c r="E532" s="30" t="s">
        <v>703</v>
      </c>
      <c r="F532" s="43" t="s">
        <v>704</v>
      </c>
      <c r="G532" s="38" t="s">
        <v>10</v>
      </c>
      <c r="H532" s="52"/>
      <c r="I532" s="52"/>
      <c r="J532" s="52"/>
      <c r="K532" s="52"/>
      <c r="L532" s="52"/>
      <c r="M532" s="52"/>
      <c r="N532" s="52"/>
      <c r="O532" s="52"/>
      <c r="P532" s="52"/>
      <c r="Q532" s="52"/>
      <c r="R532" s="52"/>
      <c r="S532" s="52"/>
      <c r="T532" s="52"/>
      <c r="U532" s="52"/>
      <c r="V532" s="52"/>
      <c r="W532" s="52"/>
      <c r="X532" s="52"/>
      <c r="Y532" s="52"/>
      <c r="Z532" s="52"/>
    </row>
    <row r="533" spans="1:26" ht="60">
      <c r="A533" s="30" t="s">
        <v>699</v>
      </c>
      <c r="B533" s="38" t="s">
        <v>705</v>
      </c>
      <c r="C533" s="51">
        <v>43914</v>
      </c>
      <c r="D533" s="30" t="s">
        <v>40</v>
      </c>
      <c r="E533" s="30" t="s">
        <v>706</v>
      </c>
      <c r="F533" s="42" t="str">
        <f>HYPERLINK("https://s3.amazonaws.com/fn-document-service/file-by-sha384/d2afb057f2ed495aeda570a60fcc72ffa47f5ddcba2aef98f9f5faed1629bb7e1446055086b478c2604ae95ecc46a22b#page=2","County Council Agenda")</f>
        <v>County Council Agenda</v>
      </c>
      <c r="G533" s="38" t="s">
        <v>10</v>
      </c>
      <c r="H533" s="52"/>
      <c r="I533" s="52"/>
      <c r="J533" s="52"/>
      <c r="K533" s="52"/>
      <c r="L533" s="52"/>
      <c r="M533" s="52"/>
      <c r="N533" s="52"/>
      <c r="O533" s="52"/>
      <c r="P533" s="52"/>
      <c r="Q533" s="52"/>
      <c r="R533" s="52"/>
      <c r="S533" s="52"/>
      <c r="T533" s="52"/>
      <c r="U533" s="52"/>
      <c r="V533" s="52"/>
      <c r="W533" s="52"/>
      <c r="X533" s="52"/>
      <c r="Y533" s="52"/>
      <c r="Z533" s="52"/>
    </row>
    <row r="534" spans="1:26" ht="30">
      <c r="A534" s="30" t="s">
        <v>699</v>
      </c>
      <c r="B534" s="38" t="s">
        <v>707</v>
      </c>
      <c r="C534" s="51">
        <v>43912</v>
      </c>
      <c r="D534" s="30" t="s">
        <v>243</v>
      </c>
      <c r="E534" s="30" t="s">
        <v>708</v>
      </c>
      <c r="F534" s="42" t="str">
        <f>HYPERLINK("https://www.phila.gov/media/20200322130746/Order-2-Business-And-Congregation-Prohibition-Stay-At-Home.pdf","Emergency Order Temporarily Prohibiting Non-essential businesses Order No. 2")</f>
        <v>Emergency Order Temporarily Prohibiting Non-essential businesses Order No. 2</v>
      </c>
      <c r="G534" s="38" t="s">
        <v>10</v>
      </c>
      <c r="H534" s="52"/>
      <c r="I534" s="52"/>
      <c r="J534" s="52"/>
      <c r="K534" s="52"/>
      <c r="L534" s="52"/>
      <c r="M534" s="52"/>
      <c r="N534" s="52"/>
      <c r="O534" s="52"/>
      <c r="P534" s="52"/>
      <c r="Q534" s="52"/>
      <c r="R534" s="52"/>
      <c r="S534" s="52"/>
      <c r="T534" s="52"/>
      <c r="U534" s="52"/>
      <c r="V534" s="52"/>
      <c r="W534" s="52"/>
      <c r="X534" s="52"/>
      <c r="Y534" s="52"/>
      <c r="Z534" s="52"/>
    </row>
    <row r="535" spans="1:26" ht="90">
      <c r="A535" s="30" t="s">
        <v>699</v>
      </c>
      <c r="B535" s="38" t="s">
        <v>707</v>
      </c>
      <c r="C535" s="51">
        <v>43905</v>
      </c>
      <c r="D535" s="30" t="s">
        <v>19</v>
      </c>
      <c r="E535" s="30" t="s">
        <v>709</v>
      </c>
      <c r="F535" s="42" t="str">
        <f>HYPERLINK("https://whyy.org/articles/philadelphia-halts-evictions-as-coronavirus-bears-down/","Philadelphia halts evictions as coronavirus bears down")</f>
        <v>Philadelphia halts evictions as coronavirus bears down</v>
      </c>
      <c r="G535" s="38" t="s">
        <v>10</v>
      </c>
      <c r="H535" s="52"/>
      <c r="I535" s="52"/>
      <c r="J535" s="52"/>
      <c r="K535" s="52"/>
      <c r="L535" s="52"/>
      <c r="M535" s="52"/>
      <c r="N535" s="52"/>
      <c r="O535" s="52"/>
      <c r="P535" s="52"/>
      <c r="Q535" s="52"/>
      <c r="R535" s="52"/>
      <c r="S535" s="52"/>
      <c r="T535" s="52"/>
      <c r="U535" s="52"/>
      <c r="V535" s="52"/>
      <c r="W535" s="52"/>
      <c r="X535" s="52"/>
      <c r="Y535" s="52"/>
      <c r="Z535" s="52"/>
    </row>
    <row r="536" spans="1:26" ht="45">
      <c r="A536" s="30" t="s">
        <v>699</v>
      </c>
      <c r="B536" s="38" t="s">
        <v>707</v>
      </c>
      <c r="C536" s="51">
        <v>43937</v>
      </c>
      <c r="D536" s="30" t="s">
        <v>19</v>
      </c>
      <c r="E536" s="30" t="s">
        <v>1000</v>
      </c>
      <c r="F536" s="42" t="str">
        <f>HYPERLINK("https://s3.amazonaws.com/fn-document-service/file-by-sha384/1976c96ea15dfacf8fe098dfc7b9d0dca24342696987f9e8de8c40397583eeca7cf2d9f9426e637af36d5fe74c29e178#page=1","City Council Agenda")</f>
        <v>City Council Agenda</v>
      </c>
      <c r="G536" s="38" t="s">
        <v>10</v>
      </c>
      <c r="H536" s="52"/>
      <c r="I536" s="52"/>
      <c r="J536" s="52"/>
      <c r="K536" s="52"/>
      <c r="L536" s="52"/>
      <c r="M536" s="52"/>
      <c r="N536" s="52"/>
      <c r="O536" s="52"/>
      <c r="P536" s="52"/>
      <c r="Q536" s="52"/>
      <c r="R536" s="52"/>
      <c r="S536" s="52"/>
      <c r="T536" s="52"/>
      <c r="U536" s="52"/>
      <c r="V536" s="52"/>
      <c r="W536" s="52"/>
      <c r="X536" s="52"/>
      <c r="Y536" s="52"/>
      <c r="Z536" s="52"/>
    </row>
    <row r="537" spans="1:26" ht="60">
      <c r="A537" s="30" t="s">
        <v>699</v>
      </c>
      <c r="B537" s="38" t="s">
        <v>707</v>
      </c>
      <c r="C537" s="51">
        <v>43959</v>
      </c>
      <c r="D537" s="30" t="s">
        <v>13</v>
      </c>
      <c r="E537" s="30" t="s">
        <v>710</v>
      </c>
      <c r="F537" s="43" t="s">
        <v>711</v>
      </c>
      <c r="G537" s="38" t="s">
        <v>10</v>
      </c>
      <c r="H537" s="52"/>
      <c r="I537" s="52"/>
      <c r="J537" s="52"/>
      <c r="K537" s="52"/>
      <c r="L537" s="52"/>
      <c r="M537" s="52"/>
      <c r="N537" s="52"/>
      <c r="O537" s="52"/>
      <c r="P537" s="52"/>
      <c r="Q537" s="52"/>
      <c r="R537" s="52"/>
      <c r="S537" s="52"/>
      <c r="T537" s="52"/>
      <c r="U537" s="52"/>
      <c r="V537" s="52"/>
      <c r="W537" s="52"/>
      <c r="X537" s="52"/>
      <c r="Y537" s="52"/>
      <c r="Z537" s="52"/>
    </row>
    <row r="538" spans="1:26" ht="48" customHeight="1">
      <c r="A538" s="30" t="s">
        <v>699</v>
      </c>
      <c r="B538" s="38" t="s">
        <v>707</v>
      </c>
      <c r="C538" s="51">
        <v>43908</v>
      </c>
      <c r="D538" s="30" t="s">
        <v>8</v>
      </c>
      <c r="E538" s="30" t="s">
        <v>712</v>
      </c>
      <c r="F538" s="42" t="str">
        <f>HYPERLINK("https://www.inquirer.com/health/coronavirus/philadelphia-police-coronavirus-covid-pandemic-arrests-jail-overcrowding-larry-krasner-20200317.html","With courts closed by pandemic, Philly police stop low-level arrests to manage jail crowding")</f>
        <v>With courts closed by pandemic, Philly police stop low-level arrests to manage jail crowding</v>
      </c>
      <c r="G538" s="38" t="s">
        <v>10</v>
      </c>
      <c r="H538" s="52"/>
      <c r="I538" s="52"/>
      <c r="J538" s="52"/>
      <c r="K538" s="52"/>
      <c r="L538" s="52"/>
      <c r="M538" s="52"/>
      <c r="N538" s="52"/>
      <c r="O538" s="52"/>
      <c r="P538" s="52"/>
      <c r="Q538" s="52"/>
      <c r="R538" s="52"/>
      <c r="S538" s="52"/>
      <c r="T538" s="52"/>
      <c r="U538" s="52"/>
      <c r="V538" s="52"/>
      <c r="W538" s="52"/>
      <c r="X538" s="52"/>
      <c r="Y538" s="52"/>
      <c r="Z538" s="52"/>
    </row>
    <row r="539" spans="1:26" ht="45">
      <c r="A539" s="30" t="s">
        <v>699</v>
      </c>
      <c r="B539" s="38" t="s">
        <v>713</v>
      </c>
      <c r="C539" s="51">
        <v>43907</v>
      </c>
      <c r="D539" s="51" t="s">
        <v>19</v>
      </c>
      <c r="E539" s="30" t="s">
        <v>714</v>
      </c>
      <c r="F539" s="42" t="s">
        <v>715</v>
      </c>
      <c r="G539" s="38" t="s">
        <v>10</v>
      </c>
      <c r="H539" s="52"/>
      <c r="I539" s="52"/>
      <c r="J539" s="52"/>
      <c r="K539" s="52"/>
      <c r="L539" s="52"/>
      <c r="M539" s="52"/>
      <c r="N539" s="52"/>
      <c r="O539" s="52"/>
      <c r="P539" s="52"/>
      <c r="Q539" s="52"/>
      <c r="R539" s="52"/>
      <c r="S539" s="52"/>
      <c r="T539" s="52"/>
      <c r="U539" s="52"/>
      <c r="V539" s="52"/>
      <c r="W539" s="52"/>
      <c r="X539" s="52"/>
      <c r="Y539" s="52"/>
      <c r="Z539" s="52"/>
    </row>
    <row r="540" spans="1:26" ht="108" customHeight="1">
      <c r="A540" s="30" t="s">
        <v>699</v>
      </c>
      <c r="B540" s="38" t="s">
        <v>713</v>
      </c>
      <c r="C540" s="51">
        <v>43951</v>
      </c>
      <c r="D540" s="30" t="s">
        <v>13</v>
      </c>
      <c r="E540" s="30" t="s">
        <v>1025</v>
      </c>
      <c r="F540" s="42" t="str">
        <f>HYPERLINK("https://pittsburghpa.gov/press-releases/press-releases/3750","URA Partners with City and Urban League of Greater Pittsburgh to Provide Short Term Rent/Mortgage/Utility Financial Assistance to City Residents")</f>
        <v>URA Partners with City and Urban League of Greater Pittsburgh to Provide Short Term Rent/Mortgage/Utility Financial Assistance to City Residents</v>
      </c>
      <c r="G540" s="38" t="s">
        <v>10</v>
      </c>
      <c r="H540" s="52"/>
      <c r="I540" s="52"/>
      <c r="J540" s="52"/>
      <c r="K540" s="52"/>
      <c r="L540" s="52"/>
      <c r="M540" s="52"/>
      <c r="N540" s="52"/>
      <c r="O540" s="52"/>
      <c r="P540" s="52"/>
      <c r="Q540" s="52"/>
      <c r="R540" s="52"/>
      <c r="S540" s="52"/>
      <c r="T540" s="52"/>
      <c r="U540" s="52"/>
      <c r="V540" s="52"/>
      <c r="W540" s="52"/>
      <c r="X540" s="52"/>
      <c r="Y540" s="52"/>
      <c r="Z540" s="52"/>
    </row>
    <row r="541" spans="1:26" ht="45">
      <c r="A541" s="30" t="s">
        <v>699</v>
      </c>
      <c r="B541" s="38" t="s">
        <v>713</v>
      </c>
      <c r="C541" s="51">
        <v>43963</v>
      </c>
      <c r="D541" s="30" t="s">
        <v>154</v>
      </c>
      <c r="E541" s="30" t="s">
        <v>806</v>
      </c>
      <c r="F541" s="43" t="s">
        <v>807</v>
      </c>
      <c r="G541" s="38" t="s">
        <v>24</v>
      </c>
      <c r="H541" s="52"/>
      <c r="I541" s="52"/>
      <c r="J541" s="52"/>
      <c r="K541" s="52"/>
      <c r="L541" s="52"/>
      <c r="M541" s="52"/>
      <c r="N541" s="52"/>
      <c r="O541" s="52"/>
      <c r="P541" s="52"/>
      <c r="Q541" s="52"/>
      <c r="R541" s="52"/>
      <c r="S541" s="52"/>
      <c r="T541" s="52"/>
      <c r="U541" s="52"/>
      <c r="V541" s="52"/>
      <c r="W541" s="52"/>
      <c r="X541" s="52"/>
      <c r="Y541" s="52"/>
      <c r="Z541" s="52"/>
    </row>
    <row r="542" spans="1:26" ht="30">
      <c r="A542" s="30" t="s">
        <v>699</v>
      </c>
      <c r="B542" s="38" t="s">
        <v>716</v>
      </c>
      <c r="C542" s="51">
        <v>43934</v>
      </c>
      <c r="D542" s="30" t="s">
        <v>40</v>
      </c>
      <c r="E542" s="30" t="s">
        <v>717</v>
      </c>
      <c r="F542" s="42" t="str">
        <f>HYPERLINK("https://s3.amazonaws.com/fn-document-service/file-by-sha384/5f87659a4d6048d16a5dc1619aa4d643fc83ca3ba51ac354aad1d66952bfc7620498c1c4a97e0a2169d280d56bbaffd1#page=14","City Council Agenda")</f>
        <v>City Council Agenda</v>
      </c>
      <c r="G542" s="38" t="s">
        <v>10</v>
      </c>
      <c r="H542" s="52"/>
      <c r="I542" s="52"/>
      <c r="J542" s="52"/>
      <c r="K542" s="52"/>
      <c r="L542" s="52"/>
      <c r="M542" s="52"/>
      <c r="N542" s="52"/>
      <c r="O542" s="52"/>
      <c r="P542" s="52"/>
      <c r="Q542" s="52"/>
      <c r="R542" s="52"/>
      <c r="S542" s="52"/>
      <c r="T542" s="52"/>
      <c r="U542" s="52"/>
      <c r="V542" s="52"/>
      <c r="W542" s="52"/>
      <c r="X542" s="52"/>
      <c r="Y542" s="52"/>
      <c r="Z542" s="52"/>
    </row>
    <row r="543" spans="1:26" ht="60">
      <c r="A543" s="30" t="s">
        <v>699</v>
      </c>
      <c r="B543" s="38" t="s">
        <v>716</v>
      </c>
      <c r="C543" s="51">
        <v>44036</v>
      </c>
      <c r="D543" s="30" t="s">
        <v>13</v>
      </c>
      <c r="E543" s="30" t="s">
        <v>1198</v>
      </c>
      <c r="F543" s="43" t="s">
        <v>1199</v>
      </c>
      <c r="G543" s="38" t="s">
        <v>10</v>
      </c>
      <c r="H543" s="52"/>
      <c r="I543" s="52"/>
      <c r="J543" s="52"/>
      <c r="K543" s="52"/>
      <c r="L543" s="52"/>
      <c r="M543" s="52"/>
      <c r="N543" s="52"/>
      <c r="O543" s="52"/>
      <c r="P543" s="52"/>
      <c r="Q543" s="52"/>
      <c r="R543" s="52"/>
      <c r="S543" s="52"/>
      <c r="T543" s="52"/>
      <c r="U543" s="52"/>
      <c r="V543" s="52"/>
      <c r="W543" s="52"/>
      <c r="X543" s="52"/>
      <c r="Y543" s="52"/>
      <c r="Z543" s="52"/>
    </row>
    <row r="544" spans="1:26" ht="30">
      <c r="A544" s="30" t="s">
        <v>699</v>
      </c>
      <c r="B544" s="38" t="s">
        <v>18</v>
      </c>
      <c r="C544" s="51">
        <v>43908</v>
      </c>
      <c r="D544" s="30" t="s">
        <v>19</v>
      </c>
      <c r="E544" s="30" t="s">
        <v>718</v>
      </c>
      <c r="F544" s="42" t="str">
        <f>HYPERLINK("https://triblive.com/news/pennsylvania/citing-covid-19-pennsylvania-senate-democrats-seek-to-halt-evictions-and-foreclosures/","Citing covid-19, Pa. Supreme Court halts evictions, foreclosures statewide")</f>
        <v>Citing covid-19, Pa. Supreme Court halts evictions, foreclosures statewide</v>
      </c>
      <c r="G544" s="38" t="s">
        <v>10</v>
      </c>
      <c r="H544" s="52"/>
      <c r="I544" s="52"/>
      <c r="J544" s="52"/>
      <c r="K544" s="52"/>
      <c r="L544" s="52"/>
      <c r="M544" s="52"/>
      <c r="N544" s="52"/>
      <c r="O544" s="52"/>
      <c r="P544" s="52"/>
      <c r="Q544" s="52"/>
      <c r="R544" s="52"/>
      <c r="S544" s="52"/>
      <c r="T544" s="52"/>
      <c r="U544" s="52"/>
      <c r="V544" s="52"/>
      <c r="W544" s="52"/>
      <c r="X544" s="52"/>
      <c r="Y544" s="52"/>
      <c r="Z544" s="52"/>
    </row>
    <row r="545" spans="1:26" ht="45.75" customHeight="1">
      <c r="A545" s="30" t="s">
        <v>699</v>
      </c>
      <c r="B545" s="38" t="s">
        <v>18</v>
      </c>
      <c r="C545" s="51">
        <v>43980</v>
      </c>
      <c r="D545" s="30" t="s">
        <v>13</v>
      </c>
      <c r="E545" s="30" t="s">
        <v>719</v>
      </c>
      <c r="F545" s="43" t="s">
        <v>720</v>
      </c>
      <c r="G545" s="38" t="s">
        <v>10</v>
      </c>
      <c r="H545" s="52"/>
      <c r="I545" s="52"/>
      <c r="J545" s="52"/>
      <c r="K545" s="52"/>
      <c r="L545" s="52"/>
      <c r="M545" s="52"/>
      <c r="N545" s="52"/>
      <c r="O545" s="52"/>
      <c r="P545" s="52"/>
      <c r="Q545" s="52"/>
      <c r="R545" s="52"/>
      <c r="S545" s="52"/>
      <c r="T545" s="52"/>
      <c r="U545" s="52"/>
      <c r="V545" s="52"/>
      <c r="W545" s="52"/>
      <c r="X545" s="52"/>
      <c r="Y545" s="52"/>
      <c r="Z545" s="52"/>
    </row>
    <row r="546" spans="1:26" ht="75">
      <c r="A546" s="30" t="s">
        <v>721</v>
      </c>
      <c r="B546" s="38" t="s">
        <v>365</v>
      </c>
      <c r="C546" s="51">
        <v>43916</v>
      </c>
      <c r="D546" s="30" t="s">
        <v>40</v>
      </c>
      <c r="E546" s="30" t="s">
        <v>722</v>
      </c>
      <c r="F546" s="44" t="str">
        <f>HYPERLINK("https://sutra.oslpr.org/osl/esutra/MedidaReg.aspx?rid=135614","HB 4262")</f>
        <v>HB 4262</v>
      </c>
      <c r="G546" s="38" t="s">
        <v>17</v>
      </c>
      <c r="H546" s="52"/>
      <c r="I546" s="52"/>
      <c r="J546" s="52"/>
      <c r="K546" s="52"/>
      <c r="L546" s="52"/>
      <c r="M546" s="52"/>
      <c r="N546" s="52"/>
      <c r="O546" s="52"/>
      <c r="P546" s="52"/>
      <c r="Q546" s="52"/>
      <c r="R546" s="52"/>
      <c r="S546" s="52"/>
      <c r="T546" s="52"/>
      <c r="U546" s="52"/>
      <c r="V546" s="52"/>
      <c r="W546" s="52"/>
      <c r="X546" s="52"/>
      <c r="Y546" s="52"/>
      <c r="Z546" s="52"/>
    </row>
    <row r="547" spans="1:26" ht="75">
      <c r="A547" s="30" t="s">
        <v>721</v>
      </c>
      <c r="B547" s="38" t="s">
        <v>365</v>
      </c>
      <c r="C547" s="51">
        <v>43918</v>
      </c>
      <c r="D547" s="30" t="s">
        <v>49</v>
      </c>
      <c r="E547" s="30" t="s">
        <v>723</v>
      </c>
      <c r="F547" s="44" t="str">
        <f>HYPERLINK("https://sutra.oslpr.org/osl/esutra/MedidaReg.aspx?rid=135632","SB 1549")</f>
        <v>SB 1549</v>
      </c>
      <c r="G547" s="38" t="s">
        <v>17</v>
      </c>
      <c r="H547" s="52"/>
      <c r="I547" s="52"/>
      <c r="J547" s="52"/>
      <c r="K547" s="52"/>
      <c r="L547" s="52"/>
      <c r="M547" s="52"/>
      <c r="N547" s="52"/>
      <c r="O547" s="52"/>
      <c r="P547" s="52"/>
      <c r="Q547" s="52"/>
      <c r="R547" s="52"/>
      <c r="S547" s="52"/>
      <c r="T547" s="52"/>
      <c r="U547" s="52"/>
      <c r="V547" s="52"/>
      <c r="W547" s="52"/>
      <c r="X547" s="52"/>
      <c r="Y547" s="52"/>
      <c r="Z547" s="52"/>
    </row>
    <row r="548" spans="1:26" ht="45">
      <c r="A548" s="30" t="s">
        <v>724</v>
      </c>
      <c r="B548" s="38" t="s">
        <v>1200</v>
      </c>
      <c r="C548" s="51">
        <v>43987</v>
      </c>
      <c r="D548" s="30" t="s">
        <v>13</v>
      </c>
      <c r="E548" s="30" t="s">
        <v>1203</v>
      </c>
      <c r="F548" s="85" t="s">
        <v>1204</v>
      </c>
      <c r="G548" s="38" t="s">
        <v>10</v>
      </c>
      <c r="H548" s="52"/>
      <c r="I548" s="52"/>
      <c r="J548" s="52"/>
      <c r="K548" s="52"/>
      <c r="L548" s="52"/>
      <c r="M548" s="52"/>
      <c r="N548" s="52"/>
      <c r="O548" s="52"/>
      <c r="P548" s="52"/>
      <c r="Q548" s="52"/>
      <c r="R548" s="52"/>
      <c r="S548" s="52"/>
      <c r="T548" s="52"/>
      <c r="U548" s="52"/>
      <c r="V548" s="52"/>
      <c r="W548" s="52"/>
      <c r="X548" s="52"/>
      <c r="Y548" s="52"/>
      <c r="Z548" s="52"/>
    </row>
    <row r="549" spans="1:26" ht="30">
      <c r="A549" s="30" t="s">
        <v>724</v>
      </c>
      <c r="B549" s="38" t="s">
        <v>18</v>
      </c>
      <c r="C549" s="51">
        <v>43910</v>
      </c>
      <c r="D549" s="30" t="s">
        <v>19</v>
      </c>
      <c r="E549" s="30" t="s">
        <v>725</v>
      </c>
      <c r="F549" s="42" t="str">
        <f>HYPERLINK("https://www.providencejournal.com/news/20200320/ri-evictions-can-go-on-in-limited-cases","R.I. evictions can go on in limited cases")</f>
        <v>R.I. evictions can go on in limited cases</v>
      </c>
      <c r="G549" s="38" t="s">
        <v>10</v>
      </c>
      <c r="H549" s="52"/>
      <c r="I549" s="52"/>
      <c r="J549" s="52"/>
      <c r="K549" s="52"/>
      <c r="L549" s="52"/>
      <c r="M549" s="52"/>
      <c r="N549" s="52"/>
      <c r="O549" s="52"/>
      <c r="P549" s="52"/>
      <c r="Q549" s="52"/>
      <c r="R549" s="52"/>
      <c r="S549" s="52"/>
      <c r="T549" s="52"/>
      <c r="U549" s="52"/>
      <c r="V549" s="52"/>
      <c r="W549" s="52"/>
      <c r="X549" s="52"/>
      <c r="Y549" s="52"/>
      <c r="Z549" s="52"/>
    </row>
    <row r="550" spans="1:26" ht="60">
      <c r="A550" s="30" t="s">
        <v>724</v>
      </c>
      <c r="B550" s="38" t="s">
        <v>18</v>
      </c>
      <c r="C550" s="51">
        <v>43957</v>
      </c>
      <c r="D550" s="30" t="s">
        <v>13</v>
      </c>
      <c r="E550" s="30" t="s">
        <v>726</v>
      </c>
      <c r="F550" s="43" t="s">
        <v>727</v>
      </c>
      <c r="G550" s="38" t="s">
        <v>10</v>
      </c>
      <c r="H550" s="52"/>
      <c r="I550" s="52"/>
      <c r="J550" s="52"/>
      <c r="K550" s="52"/>
      <c r="L550" s="52"/>
      <c r="M550" s="52"/>
      <c r="N550" s="52"/>
      <c r="O550" s="52"/>
      <c r="P550" s="52"/>
      <c r="Q550" s="52"/>
      <c r="R550" s="52"/>
      <c r="S550" s="52"/>
      <c r="T550" s="52"/>
      <c r="U550" s="52"/>
      <c r="V550" s="52"/>
      <c r="W550" s="52"/>
      <c r="X550" s="52"/>
      <c r="Y550" s="52"/>
      <c r="Z550" s="52"/>
    </row>
    <row r="551" spans="1:26" ht="45">
      <c r="A551" s="30" t="s">
        <v>724</v>
      </c>
      <c r="B551" s="38" t="s">
        <v>18</v>
      </c>
      <c r="C551" s="51">
        <v>44022</v>
      </c>
      <c r="D551" s="30" t="s">
        <v>13</v>
      </c>
      <c r="E551" s="30" t="s">
        <v>1201</v>
      </c>
      <c r="F551" s="43" t="s">
        <v>1202</v>
      </c>
      <c r="G551" s="38" t="s">
        <v>10</v>
      </c>
      <c r="H551" s="52"/>
      <c r="I551" s="52"/>
      <c r="J551" s="52"/>
      <c r="K551" s="52"/>
      <c r="L551" s="52"/>
      <c r="M551" s="52"/>
      <c r="N551" s="52"/>
      <c r="O551" s="52"/>
      <c r="P551" s="52"/>
      <c r="Q551" s="52"/>
      <c r="R551" s="52"/>
      <c r="S551" s="52"/>
      <c r="T551" s="52"/>
      <c r="U551" s="52"/>
      <c r="V551" s="52"/>
      <c r="W551" s="52"/>
      <c r="X551" s="52"/>
      <c r="Y551" s="52"/>
      <c r="Z551" s="52"/>
    </row>
    <row r="552" spans="1:26" ht="30">
      <c r="A552" s="30" t="s">
        <v>724</v>
      </c>
      <c r="B552" s="38" t="s">
        <v>18</v>
      </c>
      <c r="C552" s="51">
        <v>43915</v>
      </c>
      <c r="D552" s="30" t="s">
        <v>8</v>
      </c>
      <c r="E552" s="30" t="s">
        <v>728</v>
      </c>
      <c r="F552" s="42" t="str">
        <f>HYPERLINK("https://www.southcoasttoday.com/news/20200325/ri-prisons-looking-to-reduce-inmate-numbers-due-to-virus","R.I. prisons looking to reduce inmate numbers due to virus")</f>
        <v>R.I. prisons looking to reduce inmate numbers due to virus</v>
      </c>
      <c r="G552" s="38" t="s">
        <v>10</v>
      </c>
      <c r="H552" s="52"/>
      <c r="I552" s="52"/>
      <c r="J552" s="52"/>
      <c r="K552" s="52"/>
      <c r="L552" s="52"/>
      <c r="M552" s="52"/>
      <c r="N552" s="52"/>
      <c r="O552" s="52"/>
      <c r="P552" s="52"/>
      <c r="Q552" s="52"/>
      <c r="R552" s="52"/>
      <c r="S552" s="52"/>
      <c r="T552" s="52"/>
      <c r="U552" s="52"/>
      <c r="V552" s="52"/>
      <c r="W552" s="52"/>
      <c r="X552" s="52"/>
      <c r="Y552" s="52"/>
      <c r="Z552" s="52"/>
    </row>
    <row r="553" spans="1:26" ht="30">
      <c r="A553" s="30" t="s">
        <v>729</v>
      </c>
      <c r="B553" s="38" t="s">
        <v>547</v>
      </c>
      <c r="C553" s="51">
        <v>43907</v>
      </c>
      <c r="D553" s="30" t="s">
        <v>19</v>
      </c>
      <c r="E553" s="30" t="s">
        <v>730</v>
      </c>
      <c r="F553" s="42" t="s">
        <v>731</v>
      </c>
      <c r="G553" s="38" t="s">
        <v>10</v>
      </c>
      <c r="H553" s="52"/>
      <c r="I553" s="52"/>
      <c r="J553" s="52"/>
      <c r="K553" s="52"/>
      <c r="L553" s="52"/>
      <c r="M553" s="52"/>
      <c r="N553" s="52"/>
      <c r="O553" s="52"/>
      <c r="P553" s="52"/>
      <c r="Q553" s="52"/>
      <c r="R553" s="52"/>
      <c r="S553" s="52"/>
      <c r="T553" s="52"/>
      <c r="U553" s="52"/>
      <c r="V553" s="52"/>
      <c r="W553" s="52"/>
      <c r="X553" s="52"/>
      <c r="Y553" s="52"/>
      <c r="Z553" s="52"/>
    </row>
    <row r="554" spans="1:26" ht="45">
      <c r="A554" s="30" t="s">
        <v>729</v>
      </c>
      <c r="B554" s="38" t="s">
        <v>627</v>
      </c>
      <c r="C554" s="51">
        <v>43910</v>
      </c>
      <c r="D554" s="30" t="s">
        <v>8</v>
      </c>
      <c r="E554" s="30" t="s">
        <v>732</v>
      </c>
      <c r="F554" s="42" t="str">
        <f>HYPERLINK("https://www.greenvilleonline.com/story/news/local/south-carolina/2020/03/20/dozens-released-greenville-south-carolina-jail-due-covid-19-fears/2883854001/","Dozens of inmates released from Greenville jail amid growing COVID-19 concerns")</f>
        <v>Dozens of inmates released from Greenville jail amid growing COVID-19 concerns</v>
      </c>
      <c r="G554" s="38" t="s">
        <v>10</v>
      </c>
      <c r="H554" s="52"/>
      <c r="I554" s="52"/>
      <c r="J554" s="52"/>
      <c r="K554" s="52"/>
      <c r="L554" s="52"/>
      <c r="M554" s="52"/>
      <c r="N554" s="52"/>
      <c r="O554" s="52"/>
      <c r="P554" s="52"/>
      <c r="Q554" s="52"/>
      <c r="R554" s="52"/>
      <c r="S554" s="52"/>
      <c r="T554" s="52"/>
      <c r="U554" s="52"/>
      <c r="V554" s="52"/>
      <c r="W554" s="52"/>
      <c r="X554" s="52"/>
      <c r="Y554" s="52"/>
      <c r="Z554" s="52"/>
    </row>
    <row r="555" spans="1:26" ht="30">
      <c r="A555" s="30" t="s">
        <v>729</v>
      </c>
      <c r="B555" s="38" t="s">
        <v>733</v>
      </c>
      <c r="C555" s="51">
        <v>43969</v>
      </c>
      <c r="D555" s="30" t="s">
        <v>13</v>
      </c>
      <c r="E555" s="30" t="s">
        <v>734</v>
      </c>
      <c r="F555" s="43" t="s">
        <v>735</v>
      </c>
      <c r="G555" s="38" t="s">
        <v>10</v>
      </c>
      <c r="H555" s="52"/>
      <c r="I555" s="52"/>
      <c r="J555" s="52"/>
      <c r="K555" s="52"/>
      <c r="L555" s="52"/>
      <c r="M555" s="52"/>
      <c r="N555" s="52"/>
      <c r="O555" s="52"/>
      <c r="P555" s="52"/>
      <c r="Q555" s="52"/>
      <c r="R555" s="52"/>
      <c r="S555" s="52"/>
      <c r="T555" s="52"/>
      <c r="U555" s="52"/>
      <c r="V555" s="52"/>
      <c r="W555" s="52"/>
      <c r="X555" s="52"/>
      <c r="Y555" s="52"/>
      <c r="Z555" s="52"/>
    </row>
    <row r="556" spans="1:26" ht="45.75" customHeight="1">
      <c r="A556" s="30" t="s">
        <v>729</v>
      </c>
      <c r="B556" s="38" t="s">
        <v>18</v>
      </c>
      <c r="C556" s="51">
        <v>43904</v>
      </c>
      <c r="D556" s="30" t="s">
        <v>19</v>
      </c>
      <c r="E556" s="30" t="s">
        <v>736</v>
      </c>
      <c r="F556" s="42" t="str">
        <f>HYPERLINK("https://www.wtoc.com/2020/03/14/state-representative-proposes-pause-evictions-during-coronavirus-outbreak-south-carolina/","State Representative proposes pause on evictions during the coronavirus outbreak in South Carolina")</f>
        <v>State Representative proposes pause on evictions during the coronavirus outbreak in South Carolina</v>
      </c>
      <c r="G556" s="38" t="s">
        <v>17</v>
      </c>
      <c r="H556" s="52"/>
      <c r="I556" s="52"/>
      <c r="J556" s="52"/>
      <c r="K556" s="52"/>
      <c r="L556" s="52"/>
      <c r="M556" s="52"/>
      <c r="N556" s="52"/>
      <c r="O556" s="52"/>
      <c r="P556" s="52"/>
      <c r="Q556" s="52"/>
      <c r="R556" s="52"/>
      <c r="S556" s="52"/>
      <c r="T556" s="52"/>
      <c r="U556" s="52"/>
      <c r="V556" s="52"/>
      <c r="W556" s="52"/>
      <c r="X556" s="52"/>
      <c r="Y556" s="52"/>
      <c r="Z556" s="52"/>
    </row>
    <row r="557" spans="1:26" ht="30" customHeight="1">
      <c r="A557" s="30" t="s">
        <v>729</v>
      </c>
      <c r="B557" s="38" t="s">
        <v>18</v>
      </c>
      <c r="C557" s="51">
        <v>43907</v>
      </c>
      <c r="D557" s="30" t="s">
        <v>19</v>
      </c>
      <c r="E557" s="30" t="s">
        <v>737</v>
      </c>
      <c r="F557" s="42" t="str">
        <f>HYPERLINK("https://www.sccourts.org/courtOrders/displayOrder.cfm?orderNo=2020-03-17-02","SC chief justice blocks evictions statewide in response to coronavirus")</f>
        <v>SC chief justice blocks evictions statewide in response to coronavirus</v>
      </c>
      <c r="G557" s="38" t="s">
        <v>10</v>
      </c>
      <c r="H557" s="52"/>
      <c r="I557" s="52"/>
      <c r="J557" s="52"/>
      <c r="K557" s="52"/>
      <c r="L557" s="52"/>
      <c r="M557" s="52"/>
      <c r="N557" s="52"/>
      <c r="O557" s="52"/>
      <c r="P557" s="52"/>
      <c r="Q557" s="52"/>
      <c r="R557" s="52"/>
      <c r="S557" s="52"/>
      <c r="T557" s="52"/>
      <c r="U557" s="52"/>
      <c r="V557" s="52"/>
      <c r="W557" s="52"/>
      <c r="X557" s="52"/>
      <c r="Y557" s="52"/>
      <c r="Z557" s="52"/>
    </row>
    <row r="558" spans="1:26" ht="60">
      <c r="A558" s="30" t="s">
        <v>729</v>
      </c>
      <c r="B558" s="38" t="s">
        <v>18</v>
      </c>
      <c r="C558" s="51">
        <v>43971</v>
      </c>
      <c r="D558" s="30" t="s">
        <v>13</v>
      </c>
      <c r="E558" s="30" t="s">
        <v>738</v>
      </c>
      <c r="F558" s="43" t="s">
        <v>739</v>
      </c>
      <c r="G558" s="38" t="s">
        <v>10</v>
      </c>
      <c r="H558" s="52"/>
      <c r="I558" s="52"/>
      <c r="J558" s="52"/>
      <c r="K558" s="52"/>
      <c r="L558" s="52"/>
      <c r="M558" s="52"/>
      <c r="N558" s="52"/>
      <c r="O558" s="52"/>
      <c r="P558" s="52"/>
      <c r="Q558" s="52"/>
      <c r="R558" s="52"/>
      <c r="S558" s="52"/>
      <c r="T558" s="52"/>
      <c r="U558" s="52"/>
      <c r="V558" s="52"/>
      <c r="W558" s="52"/>
      <c r="X558" s="52"/>
      <c r="Y558" s="52"/>
      <c r="Z558" s="52"/>
    </row>
    <row r="559" spans="1:26" ht="30">
      <c r="A559" s="30" t="s">
        <v>729</v>
      </c>
      <c r="B559" s="38" t="s">
        <v>18</v>
      </c>
      <c r="C559" s="51">
        <v>43906</v>
      </c>
      <c r="D559" s="30" t="s">
        <v>8</v>
      </c>
      <c r="E559" s="30" t="s">
        <v>740</v>
      </c>
      <c r="F559" s="43" t="s">
        <v>741</v>
      </c>
      <c r="G559" s="38" t="s">
        <v>10</v>
      </c>
      <c r="H559" s="52"/>
      <c r="I559" s="52"/>
      <c r="J559" s="52"/>
      <c r="K559" s="52"/>
      <c r="L559" s="52"/>
      <c r="M559" s="52"/>
      <c r="N559" s="52"/>
      <c r="O559" s="52"/>
      <c r="P559" s="52"/>
      <c r="Q559" s="52"/>
      <c r="R559" s="52"/>
      <c r="S559" s="52"/>
      <c r="T559" s="52"/>
      <c r="U559" s="52"/>
      <c r="V559" s="52"/>
      <c r="W559" s="52"/>
      <c r="X559" s="52"/>
      <c r="Y559" s="52"/>
      <c r="Z559" s="52"/>
    </row>
    <row r="560" spans="1:26" ht="60">
      <c r="A560" s="30" t="s">
        <v>742</v>
      </c>
      <c r="B560" s="38" t="s">
        <v>18</v>
      </c>
      <c r="C560" s="51">
        <v>44133</v>
      </c>
      <c r="D560" s="30" t="s">
        <v>13</v>
      </c>
      <c r="E560" s="30" t="s">
        <v>1478</v>
      </c>
      <c r="F560" s="43" t="s">
        <v>1479</v>
      </c>
      <c r="G560" s="38" t="s">
        <v>10</v>
      </c>
      <c r="H560" s="52"/>
      <c r="I560" s="52"/>
      <c r="J560" s="52"/>
      <c r="K560" s="52"/>
      <c r="L560" s="52"/>
      <c r="M560" s="52"/>
      <c r="N560" s="52"/>
      <c r="O560" s="52"/>
      <c r="P560" s="52"/>
      <c r="Q560" s="52"/>
      <c r="R560" s="52"/>
      <c r="S560" s="52"/>
      <c r="T560" s="52"/>
      <c r="U560" s="52"/>
      <c r="V560" s="52"/>
      <c r="W560" s="52"/>
      <c r="X560" s="52"/>
      <c r="Y560" s="52"/>
      <c r="Z560" s="52"/>
    </row>
    <row r="561" spans="1:26" ht="30" customHeight="1">
      <c r="A561" s="30" t="s">
        <v>743</v>
      </c>
      <c r="B561" s="38" t="s">
        <v>744</v>
      </c>
      <c r="C561" s="51">
        <v>43907</v>
      </c>
      <c r="D561" s="30" t="s">
        <v>19</v>
      </c>
      <c r="E561" s="30" t="s">
        <v>745</v>
      </c>
      <c r="F561" s="42" t="str">
        <f>HYPERLINK("https://www.tennessean.com/story/news/local/2020/03/17/nashville-davidson-county-eviction-suspended-until-further-notice/5066270002/","Deputies won't serve eviction notices in Nashville until further notice")</f>
        <v>Deputies won't serve eviction notices in Nashville until further notice</v>
      </c>
      <c r="G561" s="38" t="s">
        <v>10</v>
      </c>
      <c r="H561" s="52"/>
      <c r="I561" s="52"/>
      <c r="J561" s="52"/>
      <c r="K561" s="52"/>
      <c r="L561" s="52"/>
      <c r="M561" s="52"/>
      <c r="N561" s="52"/>
      <c r="O561" s="52"/>
      <c r="P561" s="52"/>
      <c r="Q561" s="52"/>
      <c r="R561" s="52"/>
      <c r="S561" s="52"/>
      <c r="T561" s="52"/>
      <c r="U561" s="52"/>
      <c r="V561" s="52"/>
      <c r="W561" s="52"/>
      <c r="X561" s="52"/>
      <c r="Y561" s="52"/>
      <c r="Z561" s="52"/>
    </row>
    <row r="562" spans="1:26" ht="45">
      <c r="A562" s="30" t="s">
        <v>743</v>
      </c>
      <c r="B562" s="38" t="s">
        <v>1032</v>
      </c>
      <c r="C562" s="51">
        <v>43991</v>
      </c>
      <c r="D562" s="30" t="s">
        <v>13</v>
      </c>
      <c r="E562" s="30" t="s">
        <v>1104</v>
      </c>
      <c r="F562" s="43" t="s">
        <v>1033</v>
      </c>
      <c r="G562" s="38" t="s">
        <v>10</v>
      </c>
      <c r="H562" s="52"/>
      <c r="I562" s="52"/>
      <c r="J562" s="52"/>
      <c r="K562" s="52"/>
      <c r="L562" s="52"/>
      <c r="M562" s="52"/>
      <c r="N562" s="52"/>
      <c r="O562" s="52"/>
      <c r="P562" s="52"/>
      <c r="Q562" s="52"/>
      <c r="R562" s="52"/>
      <c r="S562" s="52"/>
      <c r="T562" s="52"/>
      <c r="U562" s="52"/>
      <c r="V562" s="52"/>
      <c r="W562" s="52"/>
      <c r="X562" s="52"/>
      <c r="Y562" s="52"/>
      <c r="Z562" s="52"/>
    </row>
    <row r="563" spans="1:26" ht="45">
      <c r="A563" s="30" t="s">
        <v>743</v>
      </c>
      <c r="B563" s="38" t="s">
        <v>746</v>
      </c>
      <c r="C563" s="51">
        <v>43922</v>
      </c>
      <c r="D563" s="30" t="s">
        <v>40</v>
      </c>
      <c r="E563" s="30" t="s">
        <v>747</v>
      </c>
      <c r="F563" s="42" t="str">
        <f>HYPERLINK("https://s3.amazonaws.com/fn-document-service/file-by-sha384/c67f8b8cdd6f09304371b823957583605ca78ad6773f714571f9bc3e6e191b3d3650dfa1b6cff02dcc1695577233de8f#page=3","Board of Commissioners Agenda")</f>
        <v>Board of Commissioners Agenda</v>
      </c>
      <c r="G563" s="38" t="s">
        <v>10</v>
      </c>
      <c r="H563" s="52"/>
      <c r="I563" s="52"/>
      <c r="J563" s="52"/>
      <c r="K563" s="52"/>
      <c r="L563" s="52"/>
      <c r="M563" s="52"/>
      <c r="N563" s="52"/>
      <c r="O563" s="52"/>
      <c r="P563" s="52"/>
      <c r="Q563" s="52"/>
      <c r="R563" s="52"/>
      <c r="S563" s="52"/>
      <c r="T563" s="52"/>
      <c r="U563" s="52"/>
      <c r="V563" s="52"/>
      <c r="W563" s="52"/>
      <c r="X563" s="52"/>
      <c r="Y563" s="52"/>
      <c r="Z563" s="52"/>
    </row>
    <row r="564" spans="1:26" ht="30">
      <c r="A564" s="30" t="s">
        <v>743</v>
      </c>
      <c r="B564" s="38" t="s">
        <v>746</v>
      </c>
      <c r="C564" s="51">
        <v>43945</v>
      </c>
      <c r="D564" s="30" t="s">
        <v>13</v>
      </c>
      <c r="E564" s="30" t="s">
        <v>748</v>
      </c>
      <c r="F564" s="43" t="s">
        <v>749</v>
      </c>
      <c r="G564" s="38" t="s">
        <v>10</v>
      </c>
      <c r="H564" s="52"/>
      <c r="I564" s="52"/>
      <c r="J564" s="52"/>
      <c r="K564" s="52"/>
      <c r="L564" s="52"/>
      <c r="M564" s="52"/>
      <c r="N564" s="52"/>
      <c r="O564" s="52"/>
      <c r="P564" s="52"/>
      <c r="Q564" s="52"/>
      <c r="R564" s="52"/>
      <c r="S564" s="52"/>
      <c r="T564" s="52"/>
      <c r="U564" s="52"/>
      <c r="V564" s="52"/>
      <c r="W564" s="52"/>
      <c r="X564" s="52"/>
      <c r="Y564" s="52"/>
      <c r="Z564" s="52"/>
    </row>
    <row r="565" spans="1:26" ht="30">
      <c r="A565" s="30" t="s">
        <v>743</v>
      </c>
      <c r="B565" s="38" t="s">
        <v>18</v>
      </c>
      <c r="C565" s="51">
        <v>43903</v>
      </c>
      <c r="D565" s="30" t="s">
        <v>19</v>
      </c>
      <c r="E565" s="30" t="s">
        <v>750</v>
      </c>
      <c r="F565" s="42" t="str">
        <f>HYPERLINK("https://dailymemphian.com/article/11560/tennessee-supreme-court-suspends-in-person-court-proceedings","State Supreme Court suspends in-person court proceedings")</f>
        <v>State Supreme Court suspends in-person court proceedings</v>
      </c>
      <c r="G565" s="38" t="s">
        <v>10</v>
      </c>
      <c r="H565" s="52"/>
      <c r="I565" s="52"/>
      <c r="J565" s="52"/>
      <c r="K565" s="52"/>
      <c r="L565" s="52"/>
      <c r="M565" s="52"/>
      <c r="N565" s="52"/>
      <c r="O565" s="52"/>
      <c r="P565" s="52"/>
      <c r="Q565" s="52"/>
      <c r="R565" s="52"/>
      <c r="S565" s="52"/>
      <c r="T565" s="52"/>
      <c r="U565" s="52"/>
      <c r="V565" s="52"/>
      <c r="W565" s="52"/>
      <c r="X565" s="52"/>
      <c r="Y565" s="52"/>
      <c r="Z565" s="52"/>
    </row>
    <row r="566" spans="1:26" ht="60">
      <c r="A566" s="30" t="s">
        <v>751</v>
      </c>
      <c r="B566" s="38" t="s">
        <v>752</v>
      </c>
      <c r="C566" s="51">
        <v>43935</v>
      </c>
      <c r="D566" s="30" t="s">
        <v>13</v>
      </c>
      <c r="E566" s="30" t="s">
        <v>1405</v>
      </c>
      <c r="F566" s="42" t="str">
        <f>HYPERLINK("https://www.austinmonitor.com/stories/2020/04/city-aims-to-fast-track-displacement-prevention-program-as-covid-19-destabilizes-residents/","City aims to fast-track displacement prevention program as Covid-19 destabilizes residents")</f>
        <v>City aims to fast-track displacement prevention program as Covid-19 destabilizes residents</v>
      </c>
      <c r="G566" s="38" t="s">
        <v>10</v>
      </c>
      <c r="H566" s="52"/>
      <c r="I566" s="52"/>
      <c r="J566" s="52"/>
      <c r="K566" s="52"/>
      <c r="L566" s="52"/>
      <c r="M566" s="52"/>
      <c r="N566" s="52"/>
      <c r="O566" s="52"/>
      <c r="P566" s="52"/>
      <c r="Q566" s="52"/>
      <c r="R566" s="52"/>
      <c r="S566" s="52"/>
      <c r="T566" s="52"/>
      <c r="U566" s="52"/>
      <c r="V566" s="52"/>
      <c r="W566" s="52"/>
      <c r="X566" s="52"/>
      <c r="Y566" s="52"/>
      <c r="Z566" s="52"/>
    </row>
    <row r="567" spans="1:26" ht="60">
      <c r="A567" s="30" t="s">
        <v>751</v>
      </c>
      <c r="B567" s="38" t="s">
        <v>752</v>
      </c>
      <c r="C567" s="51">
        <v>43952</v>
      </c>
      <c r="D567" s="30" t="s">
        <v>13</v>
      </c>
      <c r="E567" s="30" t="s">
        <v>753</v>
      </c>
      <c r="F567" s="43" t="s">
        <v>754</v>
      </c>
      <c r="G567" s="38" t="s">
        <v>10</v>
      </c>
      <c r="H567" s="52"/>
      <c r="I567" s="52"/>
      <c r="J567" s="52"/>
      <c r="K567" s="52"/>
      <c r="L567" s="52"/>
      <c r="M567" s="52"/>
      <c r="N567" s="52"/>
      <c r="O567" s="52"/>
      <c r="P567" s="52"/>
      <c r="Q567" s="52"/>
      <c r="R567" s="52"/>
      <c r="S567" s="52"/>
      <c r="T567" s="52"/>
      <c r="U567" s="52"/>
      <c r="V567" s="52"/>
      <c r="W567" s="52"/>
      <c r="X567" s="52"/>
      <c r="Y567" s="52"/>
      <c r="Z567" s="52"/>
    </row>
    <row r="568" spans="1:26" ht="105">
      <c r="A568" s="30" t="s">
        <v>751</v>
      </c>
      <c r="B568" s="38" t="s">
        <v>752</v>
      </c>
      <c r="C568" s="51">
        <v>44095</v>
      </c>
      <c r="D568" s="30" t="s">
        <v>13</v>
      </c>
      <c r="E568" s="30" t="s">
        <v>1480</v>
      </c>
      <c r="F568" s="43" t="s">
        <v>1481</v>
      </c>
      <c r="G568" s="38" t="s">
        <v>10</v>
      </c>
      <c r="H568" s="52"/>
      <c r="I568" s="52"/>
      <c r="J568" s="52"/>
      <c r="K568" s="52"/>
      <c r="L568" s="52"/>
      <c r="M568" s="52"/>
      <c r="N568" s="52"/>
      <c r="O568" s="52"/>
      <c r="P568" s="52"/>
      <c r="Q568" s="52"/>
      <c r="R568" s="52"/>
      <c r="S568" s="52"/>
      <c r="T568" s="52"/>
      <c r="U568" s="52"/>
      <c r="V568" s="52"/>
      <c r="W568" s="52"/>
      <c r="X568" s="52"/>
      <c r="Y568" s="52"/>
      <c r="Z568" s="52"/>
    </row>
    <row r="569" spans="1:26" ht="63.75" customHeight="1">
      <c r="A569" s="30" t="s">
        <v>751</v>
      </c>
      <c r="B569" s="38" t="s">
        <v>752</v>
      </c>
      <c r="C569" s="51">
        <v>43993</v>
      </c>
      <c r="D569" s="30" t="s">
        <v>8</v>
      </c>
      <c r="E569" s="30" t="s">
        <v>976</v>
      </c>
      <c r="F569" s="43" t="s">
        <v>977</v>
      </c>
      <c r="G569" s="38" t="s">
        <v>10</v>
      </c>
      <c r="H569" s="52"/>
      <c r="I569" s="52"/>
      <c r="J569" s="52"/>
      <c r="K569" s="52"/>
      <c r="L569" s="52"/>
      <c r="M569" s="52"/>
      <c r="N569" s="52"/>
      <c r="O569" s="52"/>
      <c r="P569" s="52"/>
      <c r="Q569" s="52"/>
      <c r="R569" s="52"/>
      <c r="S569" s="52"/>
      <c r="T569" s="52"/>
      <c r="U569" s="52"/>
      <c r="V569" s="52"/>
      <c r="W569" s="52"/>
      <c r="X569" s="52"/>
      <c r="Y569" s="52"/>
      <c r="Z569" s="52"/>
    </row>
    <row r="570" spans="1:26" ht="45">
      <c r="A570" s="30" t="s">
        <v>751</v>
      </c>
      <c r="B570" s="38" t="s">
        <v>755</v>
      </c>
      <c r="C570" s="51">
        <v>43942</v>
      </c>
      <c r="D570" s="30" t="s">
        <v>13</v>
      </c>
      <c r="E570" s="30" t="s">
        <v>756</v>
      </c>
      <c r="F570" s="43" t="s">
        <v>757</v>
      </c>
      <c r="G570" s="38" t="s">
        <v>10</v>
      </c>
      <c r="H570" s="52"/>
      <c r="I570" s="52"/>
      <c r="J570" s="52"/>
      <c r="K570" s="52"/>
      <c r="L570" s="52"/>
      <c r="M570" s="52"/>
      <c r="N570" s="52"/>
      <c r="O570" s="52"/>
      <c r="P570" s="52"/>
      <c r="Q570" s="52"/>
      <c r="R570" s="52"/>
      <c r="S570" s="52"/>
      <c r="T570" s="52"/>
      <c r="U570" s="52"/>
      <c r="V570" s="52"/>
      <c r="W570" s="52"/>
      <c r="X570" s="52"/>
      <c r="Y570" s="52"/>
      <c r="Z570" s="52"/>
    </row>
    <row r="571" spans="1:26" ht="60.75" customHeight="1">
      <c r="A571" s="30" t="s">
        <v>751</v>
      </c>
      <c r="B571" s="38" t="s">
        <v>755</v>
      </c>
      <c r="C571" s="51">
        <v>43904</v>
      </c>
      <c r="D571" s="30" t="s">
        <v>8</v>
      </c>
      <c r="E571" s="30" t="s">
        <v>758</v>
      </c>
      <c r="F571" s="47" t="str">
        <f>HYPERLINK("https://www.ksat.com/news/local/2020/03/15/bexar-county-sheriff-announces-covid-19-prevention-plan-for-jail-inmates-deputies/","Bexar County Sheriff announces COVID-19 prevention plan for jail inmates, deputies")</f>
        <v>Bexar County Sheriff announces COVID-19 prevention plan for jail inmates, deputies</v>
      </c>
      <c r="G571" s="38" t="s">
        <v>10</v>
      </c>
      <c r="H571" s="52"/>
      <c r="I571" s="52"/>
      <c r="J571" s="52"/>
      <c r="K571" s="52"/>
      <c r="L571" s="52"/>
      <c r="M571" s="52"/>
      <c r="N571" s="52"/>
      <c r="O571" s="52"/>
      <c r="P571" s="52"/>
      <c r="Q571" s="52"/>
      <c r="R571" s="52"/>
      <c r="S571" s="52"/>
      <c r="T571" s="52"/>
      <c r="U571" s="52"/>
      <c r="V571" s="52"/>
      <c r="W571" s="52"/>
      <c r="X571" s="52"/>
      <c r="Y571" s="52"/>
      <c r="Z571" s="52"/>
    </row>
    <row r="572" spans="1:26" ht="59.25" customHeight="1">
      <c r="A572" s="30" t="s">
        <v>751</v>
      </c>
      <c r="B572" s="38" t="s">
        <v>759</v>
      </c>
      <c r="C572" s="51">
        <v>43943</v>
      </c>
      <c r="D572" s="30" t="s">
        <v>13</v>
      </c>
      <c r="E572" s="58" t="s">
        <v>760</v>
      </c>
      <c r="F572" s="40" t="s">
        <v>761</v>
      </c>
      <c r="G572" s="46" t="s">
        <v>10</v>
      </c>
      <c r="H572" s="52"/>
      <c r="I572" s="52"/>
      <c r="J572" s="52"/>
      <c r="K572" s="52"/>
      <c r="L572" s="52"/>
      <c r="M572" s="52"/>
      <c r="N572" s="52"/>
      <c r="O572" s="52"/>
      <c r="P572" s="52"/>
      <c r="Q572" s="52"/>
      <c r="R572" s="52"/>
      <c r="S572" s="52"/>
      <c r="T572" s="52"/>
      <c r="U572" s="52"/>
      <c r="V572" s="52"/>
      <c r="W572" s="52"/>
      <c r="X572" s="52"/>
      <c r="Y572" s="52"/>
      <c r="Z572" s="52"/>
    </row>
    <row r="573" spans="1:26" ht="45">
      <c r="A573" s="30" t="s">
        <v>751</v>
      </c>
      <c r="B573" s="38" t="s">
        <v>762</v>
      </c>
      <c r="C573" s="51">
        <v>43943</v>
      </c>
      <c r="D573" s="30" t="s">
        <v>13</v>
      </c>
      <c r="E573" s="58" t="s">
        <v>763</v>
      </c>
      <c r="F573" s="40" t="s">
        <v>764</v>
      </c>
      <c r="G573" s="46" t="s">
        <v>10</v>
      </c>
      <c r="H573" s="52"/>
      <c r="I573" s="52"/>
      <c r="J573" s="52"/>
      <c r="K573" s="52"/>
      <c r="L573" s="52"/>
      <c r="M573" s="52"/>
      <c r="N573" s="52"/>
      <c r="O573" s="52"/>
      <c r="P573" s="52"/>
      <c r="Q573" s="52"/>
      <c r="R573" s="52"/>
      <c r="S573" s="52"/>
      <c r="T573" s="52"/>
      <c r="U573" s="52"/>
      <c r="V573" s="52"/>
      <c r="W573" s="52"/>
      <c r="X573" s="52"/>
      <c r="Y573" s="52"/>
      <c r="Z573" s="52"/>
    </row>
    <row r="574" spans="1:26" ht="60">
      <c r="A574" s="30" t="s">
        <v>751</v>
      </c>
      <c r="B574" s="38" t="s">
        <v>765</v>
      </c>
      <c r="C574" s="51">
        <v>43963</v>
      </c>
      <c r="D574" s="30" t="s">
        <v>13</v>
      </c>
      <c r="E574" s="58" t="s">
        <v>1051</v>
      </c>
      <c r="F574" s="40" t="s">
        <v>68</v>
      </c>
      <c r="G574" s="46" t="s">
        <v>10</v>
      </c>
      <c r="H574" s="52"/>
      <c r="I574" s="52"/>
      <c r="J574" s="52"/>
      <c r="K574" s="52"/>
      <c r="L574" s="52"/>
      <c r="M574" s="52"/>
      <c r="N574" s="52"/>
      <c r="O574" s="52"/>
      <c r="P574" s="52"/>
      <c r="Q574" s="52"/>
      <c r="R574" s="52"/>
      <c r="S574" s="52"/>
      <c r="T574" s="52"/>
      <c r="U574" s="52"/>
      <c r="V574" s="52"/>
      <c r="W574" s="52"/>
      <c r="X574" s="52"/>
      <c r="Y574" s="52"/>
      <c r="Z574" s="52"/>
    </row>
    <row r="575" spans="1:26" ht="45">
      <c r="A575" s="30" t="s">
        <v>751</v>
      </c>
      <c r="B575" s="38" t="s">
        <v>766</v>
      </c>
      <c r="C575" s="51">
        <v>43980</v>
      </c>
      <c r="D575" s="30" t="s">
        <v>13</v>
      </c>
      <c r="E575" s="30" t="s">
        <v>767</v>
      </c>
      <c r="F575" s="127" t="s">
        <v>768</v>
      </c>
      <c r="G575" s="38" t="s">
        <v>10</v>
      </c>
      <c r="H575" s="52"/>
      <c r="I575" s="52"/>
      <c r="J575" s="52"/>
      <c r="K575" s="52"/>
      <c r="L575" s="52"/>
      <c r="M575" s="52"/>
      <c r="N575" s="52"/>
      <c r="O575" s="52"/>
      <c r="P575" s="52"/>
      <c r="Q575" s="52"/>
      <c r="R575" s="52"/>
      <c r="S575" s="52"/>
      <c r="T575" s="52"/>
      <c r="U575" s="52"/>
      <c r="V575" s="52"/>
      <c r="W575" s="52"/>
      <c r="X575" s="52"/>
      <c r="Y575" s="52"/>
      <c r="Z575" s="52"/>
    </row>
    <row r="576" spans="1:26" ht="45" customHeight="1">
      <c r="A576" s="30" t="s">
        <v>751</v>
      </c>
      <c r="B576" s="38" t="s">
        <v>1482</v>
      </c>
      <c r="C576" s="51">
        <v>44106</v>
      </c>
      <c r="D576" s="30" t="s">
        <v>13</v>
      </c>
      <c r="E576" s="58" t="s">
        <v>1483</v>
      </c>
      <c r="F576" s="53" t="s">
        <v>1484</v>
      </c>
      <c r="G576" s="38" t="s">
        <v>10</v>
      </c>
      <c r="H576" s="52"/>
      <c r="I576" s="52"/>
      <c r="J576" s="52"/>
      <c r="K576" s="52"/>
      <c r="L576" s="52"/>
      <c r="M576" s="52"/>
      <c r="N576" s="52"/>
      <c r="O576" s="52"/>
      <c r="P576" s="52"/>
      <c r="Q576" s="52"/>
      <c r="R576" s="52"/>
      <c r="S576" s="52"/>
      <c r="T576" s="52"/>
      <c r="U576" s="52"/>
      <c r="V576" s="52"/>
      <c r="W576" s="52"/>
      <c r="X576" s="52"/>
      <c r="Y576" s="52"/>
      <c r="Z576" s="52"/>
    </row>
    <row r="577" spans="1:26" ht="60">
      <c r="A577" s="30" t="s">
        <v>751</v>
      </c>
      <c r="B577" s="38" t="s">
        <v>769</v>
      </c>
      <c r="C577" s="51">
        <v>43957</v>
      </c>
      <c r="D577" s="30" t="s">
        <v>13</v>
      </c>
      <c r="E577" s="58" t="s">
        <v>770</v>
      </c>
      <c r="F577" s="40" t="s">
        <v>771</v>
      </c>
      <c r="G577" s="38" t="s">
        <v>10</v>
      </c>
      <c r="H577" s="52"/>
      <c r="I577" s="52"/>
      <c r="J577" s="52"/>
      <c r="K577" s="52"/>
      <c r="L577" s="52"/>
      <c r="M577" s="52"/>
      <c r="N577" s="52"/>
      <c r="O577" s="52"/>
      <c r="P577" s="52"/>
      <c r="Q577" s="52"/>
      <c r="R577" s="52"/>
      <c r="S577" s="52"/>
      <c r="T577" s="52"/>
      <c r="U577" s="52"/>
      <c r="V577" s="52"/>
      <c r="W577" s="52"/>
      <c r="X577" s="52"/>
      <c r="Y577" s="52"/>
      <c r="Z577" s="52"/>
    </row>
    <row r="578" spans="1:26" ht="30">
      <c r="A578" s="30" t="s">
        <v>751</v>
      </c>
      <c r="B578" s="38" t="s">
        <v>772</v>
      </c>
      <c r="C578" s="51">
        <v>43958</v>
      </c>
      <c r="D578" s="30" t="s">
        <v>13</v>
      </c>
      <c r="E578" s="30" t="s">
        <v>773</v>
      </c>
      <c r="F578" s="72" t="s">
        <v>774</v>
      </c>
      <c r="G578" s="38" t="s">
        <v>10</v>
      </c>
      <c r="H578" s="52"/>
      <c r="I578" s="52"/>
      <c r="J578" s="52"/>
      <c r="K578" s="52"/>
      <c r="L578" s="52"/>
      <c r="M578" s="52"/>
      <c r="N578" s="52"/>
      <c r="O578" s="52"/>
      <c r="P578" s="52"/>
      <c r="Q578" s="52"/>
      <c r="R578" s="52"/>
      <c r="S578" s="52"/>
      <c r="T578" s="52"/>
      <c r="U578" s="52"/>
      <c r="V578" s="52"/>
      <c r="W578" s="52"/>
      <c r="X578" s="52"/>
      <c r="Y578" s="52"/>
      <c r="Z578" s="52"/>
    </row>
    <row r="579" spans="1:26" ht="45">
      <c r="A579" s="30" t="s">
        <v>751</v>
      </c>
      <c r="B579" s="38" t="s">
        <v>775</v>
      </c>
      <c r="C579" s="51">
        <v>43955</v>
      </c>
      <c r="D579" s="30" t="s">
        <v>13</v>
      </c>
      <c r="E579" s="30" t="s">
        <v>776</v>
      </c>
      <c r="F579" s="43" t="s">
        <v>777</v>
      </c>
      <c r="G579" s="38" t="s">
        <v>10</v>
      </c>
      <c r="H579" s="52"/>
      <c r="I579" s="52"/>
      <c r="J579" s="52"/>
      <c r="K579" s="52"/>
      <c r="L579" s="52"/>
      <c r="M579" s="52"/>
      <c r="N579" s="52"/>
      <c r="O579" s="52"/>
      <c r="P579" s="52"/>
      <c r="Q579" s="52"/>
      <c r="R579" s="52"/>
      <c r="S579" s="52"/>
      <c r="T579" s="52"/>
      <c r="U579" s="52"/>
      <c r="V579" s="52"/>
      <c r="W579" s="52"/>
      <c r="X579" s="52"/>
      <c r="Y579" s="52"/>
      <c r="Z579" s="52"/>
    </row>
    <row r="580" spans="1:26" ht="33" customHeight="1">
      <c r="A580" s="30" t="s">
        <v>751</v>
      </c>
      <c r="B580" s="38" t="s">
        <v>466</v>
      </c>
      <c r="C580" s="51">
        <v>43986</v>
      </c>
      <c r="D580" s="30" t="s">
        <v>13</v>
      </c>
      <c r="E580" s="30" t="s">
        <v>992</v>
      </c>
      <c r="F580" s="43" t="s">
        <v>993</v>
      </c>
      <c r="G580" s="38" t="s">
        <v>10</v>
      </c>
      <c r="H580" s="52"/>
      <c r="I580" s="52"/>
      <c r="J580" s="52"/>
      <c r="K580" s="52"/>
      <c r="L580" s="52"/>
      <c r="M580" s="52"/>
      <c r="N580" s="52"/>
      <c r="O580" s="52"/>
      <c r="P580" s="52"/>
      <c r="Q580" s="52"/>
      <c r="R580" s="52"/>
      <c r="S580" s="52"/>
      <c r="T580" s="52"/>
      <c r="U580" s="52"/>
      <c r="V580" s="52"/>
      <c r="W580" s="52"/>
      <c r="X580" s="52"/>
      <c r="Y580" s="52"/>
      <c r="Z580" s="52"/>
    </row>
    <row r="581" spans="1:26" ht="60">
      <c r="A581" s="30" t="s">
        <v>751</v>
      </c>
      <c r="B581" s="38" t="s">
        <v>778</v>
      </c>
      <c r="C581" s="51">
        <v>43923</v>
      </c>
      <c r="D581" s="30" t="s">
        <v>13</v>
      </c>
      <c r="E581" s="30" t="s">
        <v>779</v>
      </c>
      <c r="F581" s="42" t="str">
        <f>HYPERLINK("https://news4sanantonio.com/news/local/new-rent-relief-program-aimed-at-people-who-lost-jobs-to-covid-19","New rent relief program aimed at people who lost jobs to COVID-19")</f>
        <v>New rent relief program aimed at people who lost jobs to COVID-19</v>
      </c>
      <c r="G581" s="38" t="s">
        <v>10</v>
      </c>
      <c r="H581" s="52"/>
      <c r="I581" s="52"/>
      <c r="J581" s="52"/>
      <c r="K581" s="52"/>
      <c r="L581" s="52"/>
      <c r="M581" s="52"/>
      <c r="N581" s="52"/>
      <c r="O581" s="52"/>
      <c r="P581" s="52"/>
      <c r="Q581" s="52"/>
      <c r="R581" s="52"/>
      <c r="S581" s="52"/>
      <c r="T581" s="52"/>
      <c r="U581" s="52"/>
      <c r="V581" s="52"/>
      <c r="W581" s="52"/>
      <c r="X581" s="52"/>
      <c r="Y581" s="52"/>
      <c r="Z581" s="52"/>
    </row>
    <row r="582" spans="1:26" ht="90" customHeight="1">
      <c r="A582" s="30" t="s">
        <v>751</v>
      </c>
      <c r="B582" s="38" t="s">
        <v>778</v>
      </c>
      <c r="C582" s="51">
        <v>43944</v>
      </c>
      <c r="D582" s="30" t="s">
        <v>13</v>
      </c>
      <c r="E582" s="30" t="s">
        <v>1008</v>
      </c>
      <c r="F582" s="43" t="s">
        <v>1009</v>
      </c>
      <c r="G582" s="38" t="s">
        <v>10</v>
      </c>
      <c r="H582" s="52"/>
      <c r="I582" s="52"/>
      <c r="J582" s="52"/>
      <c r="K582" s="52"/>
      <c r="L582" s="52"/>
      <c r="M582" s="52"/>
      <c r="N582" s="52"/>
      <c r="O582" s="52"/>
      <c r="P582" s="52"/>
      <c r="Q582" s="52"/>
      <c r="R582" s="52"/>
      <c r="S582" s="52"/>
      <c r="T582" s="52"/>
      <c r="U582" s="52"/>
      <c r="V582" s="52"/>
      <c r="W582" s="52"/>
      <c r="X582" s="52"/>
      <c r="Y582" s="52"/>
      <c r="Z582" s="52"/>
    </row>
    <row r="583" spans="1:26" ht="30">
      <c r="A583" s="30" t="s">
        <v>751</v>
      </c>
      <c r="B583" s="38" t="s">
        <v>18</v>
      </c>
      <c r="C583" s="51">
        <v>43909</v>
      </c>
      <c r="D583" s="30" t="s">
        <v>19</v>
      </c>
      <c r="E583" s="30" t="s">
        <v>780</v>
      </c>
      <c r="F583" s="42" t="str">
        <f>HYPERLINK("https://www.txcourts.gov/media/1446203/209045.pdf","Emergency Order Regarding the COVID19 State of Disaster ")</f>
        <v xml:space="preserve">Emergency Order Regarding the COVID19 State of Disaster </v>
      </c>
      <c r="G583" s="38" t="s">
        <v>10</v>
      </c>
      <c r="H583" s="52"/>
      <c r="I583" s="52"/>
      <c r="J583" s="52"/>
      <c r="K583" s="52"/>
      <c r="L583" s="52"/>
      <c r="M583" s="52"/>
      <c r="N583" s="52"/>
      <c r="O583" s="52"/>
      <c r="P583" s="52"/>
      <c r="Q583" s="52"/>
      <c r="R583" s="52"/>
      <c r="S583" s="52"/>
      <c r="T583" s="52"/>
      <c r="U583" s="52"/>
      <c r="V583" s="52"/>
      <c r="W583" s="52"/>
      <c r="X583" s="52"/>
      <c r="Y583" s="52"/>
      <c r="Z583" s="52"/>
    </row>
    <row r="584" spans="1:26" ht="90">
      <c r="A584" s="30" t="s">
        <v>751</v>
      </c>
      <c r="B584" s="38" t="s">
        <v>18</v>
      </c>
      <c r="C584" s="51">
        <v>43945</v>
      </c>
      <c r="D584" s="30" t="s">
        <v>13</v>
      </c>
      <c r="E584" s="30" t="s">
        <v>781</v>
      </c>
      <c r="F584" s="43" t="str">
        <f>HYPERLINK("https://gov.texas.gov/news/post/governor-abbott-tdhca-secure-financial-housing-assistance","Governor Abbott, TDHCA Secure Financial Housing Assistance")</f>
        <v>Governor Abbott, TDHCA Secure Financial Housing Assistance</v>
      </c>
      <c r="G584" s="38" t="s">
        <v>10</v>
      </c>
      <c r="H584" s="52"/>
      <c r="I584" s="52"/>
      <c r="J584" s="52"/>
      <c r="K584" s="52"/>
      <c r="L584" s="52"/>
      <c r="M584" s="52"/>
      <c r="N584" s="52"/>
      <c r="O584" s="52"/>
      <c r="P584" s="52"/>
      <c r="Q584" s="52"/>
      <c r="R584" s="52"/>
      <c r="S584" s="52"/>
      <c r="T584" s="52"/>
      <c r="U584" s="52"/>
      <c r="V584" s="52"/>
      <c r="W584" s="52"/>
      <c r="X584" s="52"/>
      <c r="Y584" s="52"/>
      <c r="Z584" s="52"/>
    </row>
    <row r="585" spans="1:26" ht="60">
      <c r="A585" s="30" t="s">
        <v>751</v>
      </c>
      <c r="B585" s="38" t="s">
        <v>18</v>
      </c>
      <c r="C585" s="51">
        <v>44099</v>
      </c>
      <c r="D585" s="30" t="s">
        <v>13</v>
      </c>
      <c r="E585" s="30" t="s">
        <v>1282</v>
      </c>
      <c r="F585" s="43" t="s">
        <v>1283</v>
      </c>
      <c r="G585" s="38" t="s">
        <v>10</v>
      </c>
      <c r="H585" s="52"/>
      <c r="I585" s="52"/>
      <c r="J585" s="52"/>
      <c r="K585" s="52"/>
      <c r="L585" s="52"/>
      <c r="M585" s="52"/>
      <c r="N585" s="52"/>
      <c r="O585" s="52"/>
      <c r="P585" s="52"/>
      <c r="Q585" s="52"/>
      <c r="R585" s="52"/>
      <c r="S585" s="52"/>
      <c r="T585" s="52"/>
      <c r="U585" s="52"/>
      <c r="V585" s="52"/>
      <c r="W585" s="52"/>
      <c r="X585" s="52"/>
      <c r="Y585" s="52"/>
      <c r="Z585" s="52"/>
    </row>
    <row r="586" spans="1:26" ht="45">
      <c r="A586" s="30" t="s">
        <v>751</v>
      </c>
      <c r="B586" s="38" t="s">
        <v>1485</v>
      </c>
      <c r="C586" s="51"/>
      <c r="D586" s="30" t="s">
        <v>13</v>
      </c>
      <c r="E586" s="30" t="s">
        <v>1487</v>
      </c>
      <c r="F586" s="43" t="s">
        <v>1486</v>
      </c>
      <c r="G586" s="38" t="s">
        <v>10</v>
      </c>
      <c r="H586" s="52"/>
      <c r="I586" s="52"/>
      <c r="J586" s="52"/>
      <c r="K586" s="52"/>
      <c r="L586" s="52"/>
      <c r="M586" s="52"/>
      <c r="N586" s="52"/>
      <c r="O586" s="52"/>
      <c r="P586" s="52"/>
      <c r="Q586" s="52"/>
      <c r="R586" s="52"/>
      <c r="S586" s="52"/>
      <c r="T586" s="52"/>
      <c r="U586" s="52"/>
      <c r="V586" s="52"/>
      <c r="W586" s="52"/>
      <c r="X586" s="52"/>
      <c r="Y586" s="52"/>
      <c r="Z586" s="52"/>
    </row>
    <row r="587" spans="1:26" ht="75">
      <c r="A587" s="30" t="s">
        <v>751</v>
      </c>
      <c r="B587" s="38" t="s">
        <v>782</v>
      </c>
      <c r="C587" s="51">
        <v>43903</v>
      </c>
      <c r="D587" s="30" t="s">
        <v>19</v>
      </c>
      <c r="E587" s="30" t="s">
        <v>783</v>
      </c>
      <c r="F587" s="42" t="str">
        <f>HYPERLINK("https://www.kut.org/post/travis-county-evictions-put-hold-austin-energy-wont-shut-utilities-amid-covid-19-outbreak","Travis County Evictions Put On Hold, Austin Energy Won't Shut Off Utilities Amid COVID-19 Outbreak")</f>
        <v>Travis County Evictions Put On Hold, Austin Energy Won't Shut Off Utilities Amid COVID-19 Outbreak</v>
      </c>
      <c r="G587" s="38" t="s">
        <v>10</v>
      </c>
      <c r="H587" s="52"/>
      <c r="I587" s="52"/>
      <c r="J587" s="52"/>
      <c r="K587" s="52"/>
      <c r="L587" s="52"/>
      <c r="M587" s="52"/>
      <c r="N587" s="52"/>
      <c r="O587" s="52"/>
      <c r="P587" s="52"/>
      <c r="Q587" s="52"/>
      <c r="R587" s="52"/>
      <c r="S587" s="52"/>
      <c r="T587" s="52"/>
      <c r="U587" s="52"/>
      <c r="V587" s="52"/>
      <c r="W587" s="52"/>
      <c r="X587" s="52"/>
      <c r="Y587" s="52"/>
      <c r="Z587" s="52"/>
    </row>
    <row r="588" spans="1:26" ht="105">
      <c r="A588" s="30" t="s">
        <v>751</v>
      </c>
      <c r="B588" s="38" t="s">
        <v>782</v>
      </c>
      <c r="C588" s="51">
        <v>43964</v>
      </c>
      <c r="D588" s="30" t="s">
        <v>13</v>
      </c>
      <c r="E588" s="30" t="s">
        <v>784</v>
      </c>
      <c r="F588" s="43" t="s">
        <v>785</v>
      </c>
      <c r="G588" s="38" t="s">
        <v>10</v>
      </c>
      <c r="H588" s="52"/>
      <c r="I588" s="52"/>
      <c r="J588" s="52"/>
      <c r="K588" s="52"/>
      <c r="L588" s="52"/>
      <c r="M588" s="52"/>
      <c r="N588" s="52"/>
      <c r="O588" s="52"/>
      <c r="P588" s="52"/>
      <c r="Q588" s="52"/>
      <c r="R588" s="52"/>
      <c r="S588" s="52"/>
      <c r="T588" s="52"/>
      <c r="U588" s="52"/>
      <c r="V588" s="52"/>
      <c r="W588" s="52"/>
      <c r="X588" s="52"/>
      <c r="Y588" s="52"/>
      <c r="Z588" s="52"/>
    </row>
    <row r="589" spans="1:26" ht="45">
      <c r="A589" s="30" t="s">
        <v>751</v>
      </c>
      <c r="B589" s="38" t="s">
        <v>782</v>
      </c>
      <c r="C589" s="51">
        <v>43906</v>
      </c>
      <c r="D589" s="30" t="s">
        <v>8</v>
      </c>
      <c r="E589" s="30" t="s">
        <v>786</v>
      </c>
      <c r="F589" s="42" t="str">
        <f>HYPERLINK("https://www.statesman.com/news/20200316/travis-county-judges-releasing-inmates-to-limit-coronavirus-spread?fbclid=IwAR3VKawwn3bwSLSO9jXBxXNRuaWd1DRLsCBFc-ZkPN1INWW8xnzLPvZYNO4","Travis County judges releasing inmates to limit")</f>
        <v>Travis County judges releasing inmates to limit</v>
      </c>
      <c r="G589" s="38" t="s">
        <v>10</v>
      </c>
      <c r="H589" s="52"/>
      <c r="I589" s="52"/>
      <c r="J589" s="52"/>
      <c r="K589" s="52"/>
      <c r="L589" s="52"/>
      <c r="M589" s="52"/>
      <c r="N589" s="52"/>
      <c r="O589" s="52"/>
      <c r="P589" s="52"/>
      <c r="Q589" s="52"/>
      <c r="R589" s="52"/>
      <c r="S589" s="52"/>
      <c r="T589" s="52"/>
      <c r="U589" s="52"/>
      <c r="V589" s="52"/>
      <c r="W589" s="52"/>
      <c r="X589" s="52"/>
      <c r="Y589" s="52"/>
      <c r="Z589" s="52"/>
    </row>
    <row r="590" spans="1:26" ht="60">
      <c r="A590" s="30" t="s">
        <v>751</v>
      </c>
      <c r="B590" s="38" t="s">
        <v>787</v>
      </c>
      <c r="C590" s="51">
        <v>43978</v>
      </c>
      <c r="D590" s="30" t="s">
        <v>13</v>
      </c>
      <c r="E590" s="30" t="s">
        <v>788</v>
      </c>
      <c r="F590" s="43" t="s">
        <v>789</v>
      </c>
      <c r="G590" s="38" t="s">
        <v>10</v>
      </c>
      <c r="H590" s="52"/>
      <c r="I590" s="52"/>
      <c r="J590" s="52"/>
      <c r="K590" s="52"/>
      <c r="L590" s="52"/>
      <c r="M590" s="52"/>
      <c r="N590" s="52"/>
      <c r="O590" s="52"/>
      <c r="P590" s="52"/>
      <c r="Q590" s="52"/>
      <c r="R590" s="52"/>
      <c r="S590" s="52"/>
      <c r="T590" s="52"/>
      <c r="U590" s="52"/>
      <c r="V590" s="52"/>
      <c r="W590" s="52"/>
      <c r="X590" s="52"/>
      <c r="Y590" s="52"/>
      <c r="Z590" s="52"/>
    </row>
    <row r="591" spans="1:26" ht="60">
      <c r="A591" s="30" t="s">
        <v>751</v>
      </c>
      <c r="B591" s="38" t="s">
        <v>1488</v>
      </c>
      <c r="C591" s="51">
        <v>44118</v>
      </c>
      <c r="D591" s="30" t="s">
        <v>13</v>
      </c>
      <c r="E591" s="30" t="s">
        <v>1489</v>
      </c>
      <c r="F591" s="43" t="s">
        <v>1490</v>
      </c>
      <c r="G591" s="38" t="s">
        <v>10</v>
      </c>
      <c r="H591" s="52"/>
      <c r="I591" s="52"/>
      <c r="J591" s="52"/>
      <c r="K591" s="52"/>
      <c r="L591" s="52"/>
      <c r="M591" s="52"/>
      <c r="N591" s="52"/>
      <c r="O591" s="52"/>
      <c r="P591" s="52"/>
      <c r="Q591" s="52"/>
      <c r="R591" s="52"/>
      <c r="S591" s="52"/>
      <c r="T591" s="52"/>
      <c r="U591" s="52"/>
      <c r="V591" s="52"/>
      <c r="W591" s="52"/>
      <c r="X591" s="52"/>
      <c r="Y591" s="52"/>
      <c r="Z591" s="52"/>
    </row>
    <row r="592" spans="1:26" ht="45">
      <c r="A592" s="30" t="s">
        <v>790</v>
      </c>
      <c r="B592" s="38" t="s">
        <v>791</v>
      </c>
      <c r="C592" s="51">
        <v>43945</v>
      </c>
      <c r="D592" s="30" t="s">
        <v>13</v>
      </c>
      <c r="E592" s="30" t="s">
        <v>792</v>
      </c>
      <c r="F592" s="43" t="s">
        <v>793</v>
      </c>
      <c r="G592" s="38" t="s">
        <v>10</v>
      </c>
      <c r="H592" s="52"/>
      <c r="I592" s="52"/>
      <c r="J592" s="52"/>
      <c r="K592" s="52"/>
      <c r="L592" s="52"/>
      <c r="M592" s="52"/>
      <c r="N592" s="52"/>
      <c r="O592" s="52"/>
      <c r="P592" s="52"/>
      <c r="Q592" s="52"/>
      <c r="R592" s="52"/>
      <c r="S592" s="52"/>
      <c r="T592" s="52"/>
      <c r="U592" s="52"/>
      <c r="V592" s="52"/>
      <c r="W592" s="52"/>
      <c r="X592" s="52"/>
      <c r="Y592" s="52"/>
      <c r="Z592" s="52"/>
    </row>
    <row r="593" spans="1:26" ht="33" customHeight="1">
      <c r="A593" s="30" t="s">
        <v>790</v>
      </c>
      <c r="B593" s="38" t="s">
        <v>794</v>
      </c>
      <c r="C593" s="51">
        <v>43903</v>
      </c>
      <c r="D593" s="30" t="s">
        <v>19</v>
      </c>
      <c r="E593" s="30" t="s">
        <v>795</v>
      </c>
      <c r="F593" s="42" t="str">
        <f>HYPERLINK("https://www.deseret.com/utah/2020/3/13/21178350/coronavirus-covid19-courts-hearings-trial-salt-lake-city-justice-court-defense-attorney","Utah court cases to be pushed back amid coronavirus concerns")</f>
        <v>Utah court cases to be pushed back amid coronavirus concerns</v>
      </c>
      <c r="G593" s="38" t="s">
        <v>10</v>
      </c>
      <c r="H593" s="52"/>
      <c r="I593" s="52"/>
      <c r="J593" s="52"/>
      <c r="K593" s="52"/>
      <c r="L593" s="52"/>
      <c r="M593" s="52"/>
      <c r="N593" s="52"/>
      <c r="O593" s="52"/>
      <c r="P593" s="52"/>
      <c r="Q593" s="52"/>
      <c r="R593" s="52"/>
      <c r="S593" s="52"/>
      <c r="T593" s="52"/>
      <c r="U593" s="52"/>
      <c r="V593" s="52"/>
      <c r="W593" s="52"/>
      <c r="X593" s="52"/>
      <c r="Y593" s="52"/>
      <c r="Z593" s="52"/>
    </row>
    <row r="594" spans="1:26" ht="75">
      <c r="A594" s="30" t="s">
        <v>790</v>
      </c>
      <c r="B594" s="38" t="s">
        <v>796</v>
      </c>
      <c r="C594" s="51">
        <v>43907</v>
      </c>
      <c r="D594" s="30" t="s">
        <v>49</v>
      </c>
      <c r="E594" s="30" t="s">
        <v>797</v>
      </c>
      <c r="F594" s="42" t="str">
        <f>HYPERLINK("https://endutahhomelessness.org/wp-content/uploads/2020/03/Protecting-SLCos-Vulnerable-Populations-From-COVID-19-News-Release.pdf","Salt Lake County and Partners Work to Protect Vulnerable Populations from COVID 19")</f>
        <v>Salt Lake County and Partners Work to Protect Vulnerable Populations from COVID 19</v>
      </c>
      <c r="G594" s="38" t="s">
        <v>10</v>
      </c>
      <c r="H594" s="52"/>
      <c r="I594" s="52"/>
      <c r="J594" s="52"/>
      <c r="K594" s="52"/>
      <c r="L594" s="52"/>
      <c r="M594" s="52"/>
      <c r="N594" s="52"/>
      <c r="O594" s="52"/>
      <c r="P594" s="52"/>
      <c r="Q594" s="52"/>
      <c r="R594" s="52"/>
      <c r="S594" s="52"/>
      <c r="T594" s="52"/>
      <c r="U594" s="52"/>
      <c r="V594" s="52"/>
      <c r="W594" s="52"/>
      <c r="X594" s="52"/>
      <c r="Y594" s="52"/>
      <c r="Z594" s="52"/>
    </row>
    <row r="595" spans="1:26" ht="45">
      <c r="A595" s="30" t="s">
        <v>790</v>
      </c>
      <c r="B595" s="38" t="s">
        <v>796</v>
      </c>
      <c r="C595" s="51">
        <v>43910</v>
      </c>
      <c r="D595" s="30" t="s">
        <v>8</v>
      </c>
      <c r="E595" s="30" t="s">
        <v>798</v>
      </c>
      <c r="F595" s="42" t="str">
        <f>HYPERLINK("https://corrections.utah.gov/index.php/home/alerts-2/1239-utah-identifies-early-releases-to-create-additional-capacity-within-correctional-facilities","Utah Identifies Early Releases to Create Additional Capacity within Correctional Facilities")</f>
        <v>Utah Identifies Early Releases to Create Additional Capacity within Correctional Facilities</v>
      </c>
      <c r="G595" s="38" t="s">
        <v>10</v>
      </c>
      <c r="H595" s="52"/>
      <c r="I595" s="52"/>
      <c r="J595" s="52"/>
      <c r="K595" s="52"/>
      <c r="L595" s="52"/>
      <c r="M595" s="52"/>
      <c r="N595" s="52"/>
      <c r="O595" s="52"/>
      <c r="P595" s="52"/>
      <c r="Q595" s="52"/>
      <c r="R595" s="52"/>
      <c r="S595" s="52"/>
      <c r="T595" s="52"/>
      <c r="U595" s="52"/>
      <c r="V595" s="52"/>
      <c r="W595" s="52"/>
      <c r="X595" s="52"/>
      <c r="Y595" s="52"/>
      <c r="Z595" s="52"/>
    </row>
    <row r="596" spans="1:26" ht="30">
      <c r="A596" s="30" t="s">
        <v>790</v>
      </c>
      <c r="B596" s="38" t="s">
        <v>18</v>
      </c>
      <c r="C596" s="51">
        <v>43903</v>
      </c>
      <c r="D596" s="30" t="s">
        <v>19</v>
      </c>
      <c r="E596" s="30" t="s">
        <v>799</v>
      </c>
      <c r="F596" s="42" t="str">
        <f>HYPERLINK("https://www.deseret.com/utah/2020/3/13/21178350/coronavirus-covid19-courts-hearings-trial-salt-lake-city-justice-court-defense-attorney","Utah court cases to be pushed back amid coronavirus concerns")</f>
        <v>Utah court cases to be pushed back amid coronavirus concerns</v>
      </c>
      <c r="G596" s="38" t="s">
        <v>10</v>
      </c>
      <c r="H596" s="52"/>
      <c r="I596" s="52"/>
      <c r="J596" s="52"/>
      <c r="K596" s="52"/>
      <c r="L596" s="52"/>
      <c r="M596" s="52"/>
      <c r="N596" s="52"/>
      <c r="O596" s="52"/>
      <c r="P596" s="52"/>
      <c r="Q596" s="52"/>
      <c r="R596" s="52"/>
      <c r="S596" s="52"/>
      <c r="T596" s="52"/>
      <c r="U596" s="52"/>
      <c r="V596" s="52"/>
      <c r="W596" s="52"/>
      <c r="X596" s="52"/>
      <c r="Y596" s="52"/>
      <c r="Z596" s="52"/>
    </row>
    <row r="597" spans="1:26" ht="45">
      <c r="A597" s="30" t="s">
        <v>790</v>
      </c>
      <c r="B597" s="38" t="s">
        <v>18</v>
      </c>
      <c r="C597" s="51">
        <v>43957</v>
      </c>
      <c r="D597" s="30" t="s">
        <v>13</v>
      </c>
      <c r="E597" s="30" t="s">
        <v>800</v>
      </c>
      <c r="F597" s="43" t="s">
        <v>801</v>
      </c>
      <c r="G597" s="38" t="s">
        <v>10</v>
      </c>
      <c r="H597" s="52"/>
      <c r="I597" s="52"/>
      <c r="J597" s="52"/>
      <c r="K597" s="52"/>
      <c r="L597" s="52"/>
      <c r="M597" s="52"/>
      <c r="N597" s="52"/>
      <c r="O597" s="52"/>
      <c r="P597" s="52"/>
      <c r="Q597" s="52"/>
      <c r="R597" s="52"/>
      <c r="S597" s="52"/>
      <c r="T597" s="52"/>
      <c r="U597" s="52"/>
      <c r="V597" s="52"/>
      <c r="W597" s="52"/>
      <c r="X597" s="52"/>
      <c r="Y597" s="52"/>
      <c r="Z597" s="52"/>
    </row>
    <row r="598" spans="1:26" ht="45">
      <c r="A598" s="30" t="s">
        <v>790</v>
      </c>
      <c r="B598" s="38" t="s">
        <v>18</v>
      </c>
      <c r="C598" s="51">
        <v>44028</v>
      </c>
      <c r="D598" s="30" t="s">
        <v>13</v>
      </c>
      <c r="E598" s="30" t="s">
        <v>1409</v>
      </c>
      <c r="F598" s="43" t="s">
        <v>1410</v>
      </c>
      <c r="G598" s="38" t="s">
        <v>10</v>
      </c>
      <c r="H598" s="52"/>
      <c r="I598" s="52"/>
      <c r="J598" s="52"/>
      <c r="K598" s="52"/>
      <c r="L598" s="52"/>
      <c r="M598" s="52"/>
      <c r="N598" s="52"/>
      <c r="O598" s="52"/>
      <c r="P598" s="52"/>
      <c r="Q598" s="52"/>
      <c r="R598" s="52"/>
      <c r="S598" s="52"/>
      <c r="T598" s="52"/>
      <c r="U598" s="52"/>
      <c r="V598" s="52"/>
      <c r="W598" s="52"/>
      <c r="X598" s="52"/>
      <c r="Y598" s="52"/>
      <c r="Z598" s="52"/>
    </row>
    <row r="599" spans="1:26" ht="60">
      <c r="A599" s="30" t="s">
        <v>790</v>
      </c>
      <c r="B599" s="38" t="s">
        <v>1205</v>
      </c>
      <c r="C599" s="51">
        <v>44036</v>
      </c>
      <c r="D599" s="30" t="s">
        <v>13</v>
      </c>
      <c r="E599" s="30" t="s">
        <v>1206</v>
      </c>
      <c r="F599" s="43" t="s">
        <v>1207</v>
      </c>
      <c r="G599" s="38" t="s">
        <v>10</v>
      </c>
      <c r="H599" s="52"/>
      <c r="I599" s="52"/>
      <c r="J599" s="52"/>
      <c r="K599" s="52"/>
      <c r="L599" s="52"/>
      <c r="M599" s="52"/>
      <c r="N599" s="52"/>
      <c r="O599" s="52"/>
      <c r="P599" s="52"/>
      <c r="Q599" s="52"/>
      <c r="R599" s="52"/>
      <c r="S599" s="52"/>
      <c r="T599" s="52"/>
      <c r="U599" s="52"/>
      <c r="V599" s="52"/>
      <c r="W599" s="52"/>
      <c r="X599" s="52"/>
      <c r="Y599" s="52"/>
      <c r="Z599" s="52"/>
    </row>
    <row r="600" spans="1:26" ht="33.75" customHeight="1">
      <c r="A600" s="30" t="s">
        <v>802</v>
      </c>
      <c r="B600" s="38" t="s">
        <v>18</v>
      </c>
      <c r="C600" s="51">
        <v>43911</v>
      </c>
      <c r="D600" s="30" t="s">
        <v>19</v>
      </c>
      <c r="E600" s="30" t="s">
        <v>803</v>
      </c>
      <c r="F600" s="42" t="str">
        <f>HYPERLINK("https://vtdigger.org/2020/03/21/landlords-tenants-worried-advocates-seek-eviction-moratorium/","Landlords, tenants worried; advocates seek eviction moratorium")</f>
        <v>Landlords, tenants worried; advocates seek eviction moratorium</v>
      </c>
      <c r="G600" s="38" t="s">
        <v>10</v>
      </c>
      <c r="H600" s="52"/>
      <c r="I600" s="52"/>
      <c r="J600" s="52"/>
      <c r="K600" s="52"/>
      <c r="L600" s="52"/>
      <c r="M600" s="52"/>
      <c r="N600" s="52"/>
      <c r="O600" s="52"/>
      <c r="P600" s="52"/>
      <c r="Q600" s="52"/>
      <c r="R600" s="52"/>
      <c r="S600" s="52"/>
      <c r="T600" s="52"/>
      <c r="U600" s="52"/>
      <c r="V600" s="52"/>
      <c r="W600" s="52"/>
      <c r="X600" s="52"/>
      <c r="Y600" s="52"/>
      <c r="Z600" s="52"/>
    </row>
    <row r="601" spans="1:26" ht="75">
      <c r="A601" s="30" t="s">
        <v>802</v>
      </c>
      <c r="B601" s="38" t="s">
        <v>18</v>
      </c>
      <c r="C601" s="51">
        <v>44029</v>
      </c>
      <c r="D601" s="30" t="s">
        <v>49</v>
      </c>
      <c r="E601" s="30" t="s">
        <v>1112</v>
      </c>
      <c r="F601" s="43" t="s">
        <v>1113</v>
      </c>
      <c r="G601" s="38" t="s">
        <v>10</v>
      </c>
      <c r="H601" s="52"/>
      <c r="I601" s="52"/>
      <c r="J601" s="52"/>
      <c r="K601" s="52"/>
      <c r="L601" s="52"/>
      <c r="M601" s="52"/>
      <c r="N601" s="52"/>
      <c r="O601" s="52"/>
      <c r="P601" s="52"/>
      <c r="Q601" s="52"/>
      <c r="R601" s="52"/>
      <c r="S601" s="52"/>
      <c r="T601" s="52"/>
      <c r="U601" s="52"/>
      <c r="V601" s="52"/>
      <c r="W601" s="52"/>
      <c r="X601" s="52"/>
      <c r="Y601" s="52"/>
      <c r="Z601" s="52"/>
    </row>
    <row r="602" spans="1:26" ht="45">
      <c r="A602" s="30" t="s">
        <v>802</v>
      </c>
      <c r="B602" s="38" t="s">
        <v>18</v>
      </c>
      <c r="C602" s="51">
        <v>43971</v>
      </c>
      <c r="D602" s="30" t="s">
        <v>13</v>
      </c>
      <c r="E602" s="30" t="s">
        <v>804</v>
      </c>
      <c r="F602" s="43" t="s">
        <v>805</v>
      </c>
      <c r="G602" s="38" t="s">
        <v>10</v>
      </c>
      <c r="H602" s="52"/>
      <c r="I602" s="52"/>
      <c r="J602" s="52"/>
      <c r="K602" s="52"/>
      <c r="L602" s="52"/>
      <c r="M602" s="52"/>
      <c r="N602" s="52"/>
      <c r="O602" s="52"/>
      <c r="P602" s="52"/>
      <c r="Q602" s="52"/>
      <c r="R602" s="52"/>
      <c r="S602" s="52"/>
      <c r="T602" s="52"/>
      <c r="U602" s="52"/>
      <c r="V602" s="52"/>
      <c r="W602" s="52"/>
      <c r="X602" s="52"/>
      <c r="Y602" s="52"/>
      <c r="Z602" s="52"/>
    </row>
    <row r="603" spans="1:26" ht="60">
      <c r="A603" s="30" t="s">
        <v>802</v>
      </c>
      <c r="B603" s="38" t="s">
        <v>18</v>
      </c>
      <c r="C603" s="51">
        <v>43984</v>
      </c>
      <c r="D603" s="30" t="s">
        <v>154</v>
      </c>
      <c r="E603" s="30" t="s">
        <v>808</v>
      </c>
      <c r="F603" s="43" t="s">
        <v>809</v>
      </c>
      <c r="G603" s="38" t="s">
        <v>10</v>
      </c>
      <c r="H603" s="52"/>
      <c r="I603" s="52"/>
      <c r="J603" s="52"/>
      <c r="K603" s="52"/>
      <c r="L603" s="52"/>
      <c r="M603" s="52"/>
      <c r="N603" s="52"/>
      <c r="O603" s="52"/>
      <c r="P603" s="52"/>
      <c r="Q603" s="52"/>
      <c r="R603" s="52"/>
      <c r="S603" s="52"/>
      <c r="T603" s="52"/>
      <c r="U603" s="52"/>
      <c r="V603" s="52"/>
      <c r="W603" s="52"/>
      <c r="X603" s="52"/>
      <c r="Y603" s="52"/>
      <c r="Z603" s="52"/>
    </row>
    <row r="604" spans="1:26">
      <c r="A604" s="30" t="s">
        <v>815</v>
      </c>
      <c r="B604" s="38"/>
      <c r="C604" s="30"/>
      <c r="D604" s="30"/>
      <c r="E604" s="30"/>
      <c r="F604" s="42"/>
      <c r="G604" s="38"/>
      <c r="H604" s="52"/>
      <c r="I604" s="52"/>
      <c r="J604" s="52"/>
      <c r="K604" s="52"/>
      <c r="L604" s="52"/>
      <c r="M604" s="52"/>
      <c r="N604" s="52"/>
      <c r="O604" s="52"/>
      <c r="P604" s="52"/>
      <c r="Q604" s="52"/>
      <c r="R604" s="52"/>
      <c r="S604" s="52"/>
      <c r="T604" s="52"/>
      <c r="U604" s="52"/>
      <c r="V604" s="52"/>
      <c r="W604" s="52"/>
      <c r="X604" s="52"/>
      <c r="Y604" s="52"/>
      <c r="Z604" s="52"/>
    </row>
    <row r="605" spans="1:26" ht="30">
      <c r="A605" s="30" t="s">
        <v>816</v>
      </c>
      <c r="B605" s="38" t="s">
        <v>817</v>
      </c>
      <c r="C605" s="51">
        <v>43972</v>
      </c>
      <c r="D605" s="30" t="s">
        <v>13</v>
      </c>
      <c r="E605" s="30" t="s">
        <v>818</v>
      </c>
      <c r="F605" s="43" t="s">
        <v>819</v>
      </c>
      <c r="G605" s="38" t="s">
        <v>10</v>
      </c>
      <c r="H605" s="52"/>
      <c r="I605" s="52"/>
      <c r="J605" s="52"/>
      <c r="K605" s="52"/>
      <c r="L605" s="52"/>
      <c r="M605" s="52"/>
      <c r="N605" s="52"/>
      <c r="O605" s="52"/>
      <c r="P605" s="52"/>
      <c r="Q605" s="52"/>
      <c r="R605" s="52"/>
      <c r="S605" s="52"/>
      <c r="T605" s="52"/>
      <c r="U605" s="52"/>
      <c r="V605" s="52"/>
      <c r="W605" s="52"/>
      <c r="X605" s="52"/>
      <c r="Y605" s="52"/>
      <c r="Z605" s="52"/>
    </row>
    <row r="606" spans="1:26" ht="121.5" customHeight="1">
      <c r="A606" s="30" t="s">
        <v>816</v>
      </c>
      <c r="B606" s="38" t="s">
        <v>1210</v>
      </c>
      <c r="C606" s="51">
        <v>43997</v>
      </c>
      <c r="D606" s="30" t="s">
        <v>13</v>
      </c>
      <c r="E606" s="30" t="s">
        <v>1211</v>
      </c>
      <c r="F606" s="43" t="s">
        <v>1212</v>
      </c>
      <c r="G606" s="38" t="s">
        <v>10</v>
      </c>
      <c r="H606" s="52"/>
      <c r="I606" s="52"/>
      <c r="J606" s="52"/>
      <c r="K606" s="52"/>
      <c r="L606" s="52"/>
      <c r="M606" s="52"/>
      <c r="N606" s="52"/>
      <c r="O606" s="52"/>
      <c r="P606" s="52"/>
      <c r="Q606" s="52"/>
      <c r="R606" s="52"/>
      <c r="S606" s="52"/>
      <c r="T606" s="52"/>
      <c r="U606" s="52"/>
      <c r="V606" s="52"/>
      <c r="W606" s="52"/>
      <c r="X606" s="52"/>
      <c r="Y606" s="52"/>
      <c r="Z606" s="52"/>
    </row>
    <row r="607" spans="1:26" ht="240">
      <c r="A607" s="30" t="s">
        <v>816</v>
      </c>
      <c r="B607" s="38" t="s">
        <v>1213</v>
      </c>
      <c r="C607" s="51">
        <v>44036</v>
      </c>
      <c r="D607" s="30" t="s">
        <v>13</v>
      </c>
      <c r="E607" s="30" t="s">
        <v>1214</v>
      </c>
      <c r="F607" s="43" t="s">
        <v>1215</v>
      </c>
      <c r="G607" s="38" t="s">
        <v>10</v>
      </c>
      <c r="H607" s="52"/>
      <c r="I607" s="52"/>
      <c r="J607" s="52"/>
      <c r="K607" s="52"/>
      <c r="L607" s="52"/>
      <c r="M607" s="52"/>
      <c r="N607" s="52"/>
      <c r="O607" s="52"/>
      <c r="P607" s="52"/>
      <c r="Q607" s="52"/>
      <c r="R607" s="52"/>
      <c r="S607" s="52"/>
      <c r="T607" s="52"/>
      <c r="U607" s="52"/>
      <c r="V607" s="52"/>
      <c r="W607" s="52"/>
      <c r="X607" s="52"/>
      <c r="Y607" s="52"/>
      <c r="Z607" s="52"/>
    </row>
    <row r="608" spans="1:26" ht="30">
      <c r="A608" s="30" t="s">
        <v>816</v>
      </c>
      <c r="B608" s="38" t="s">
        <v>820</v>
      </c>
      <c r="C608" s="51">
        <v>43928</v>
      </c>
      <c r="D608" s="30" t="s">
        <v>13</v>
      </c>
      <c r="E608" s="30" t="s">
        <v>821</v>
      </c>
      <c r="F608" s="42" t="str">
        <f>HYPERLINK("https://www.loudountimes.com/news/loudoun-county-establishes-rental-assistance-program-in-response-to-covid-19/article_dfc4449c-7dcf-11ea-9085-3f690b380f0d.html","Loudoun County establishes rental assistance program in response to COVID-19")</f>
        <v>Loudoun County establishes rental assistance program in response to COVID-19</v>
      </c>
      <c r="G608" s="38" t="s">
        <v>10</v>
      </c>
      <c r="H608" s="52"/>
      <c r="I608" s="52"/>
      <c r="J608" s="52"/>
      <c r="K608" s="52"/>
      <c r="L608" s="52"/>
      <c r="M608" s="52"/>
      <c r="N608" s="52"/>
      <c r="O608" s="52"/>
      <c r="P608" s="52"/>
      <c r="Q608" s="52"/>
      <c r="R608" s="52"/>
      <c r="S608" s="52"/>
      <c r="T608" s="52"/>
      <c r="U608" s="52"/>
      <c r="V608" s="52"/>
      <c r="W608" s="52"/>
      <c r="X608" s="52"/>
      <c r="Y608" s="52"/>
      <c r="Z608" s="52"/>
    </row>
    <row r="609" spans="1:26" ht="90">
      <c r="A609" s="30" t="s">
        <v>816</v>
      </c>
      <c r="B609" s="38" t="s">
        <v>1026</v>
      </c>
      <c r="C609" s="51">
        <v>43942</v>
      </c>
      <c r="D609" s="30" t="s">
        <v>13</v>
      </c>
      <c r="E609" s="30" t="s">
        <v>1027</v>
      </c>
      <c r="F609" s="43" t="s">
        <v>1028</v>
      </c>
      <c r="G609" s="38" t="s">
        <v>10</v>
      </c>
      <c r="H609" s="52"/>
      <c r="I609" s="52"/>
      <c r="J609" s="52"/>
      <c r="K609" s="52"/>
      <c r="L609" s="52"/>
      <c r="M609" s="52"/>
      <c r="N609" s="52"/>
      <c r="O609" s="52"/>
      <c r="P609" s="52"/>
      <c r="Q609" s="52"/>
      <c r="R609" s="52"/>
      <c r="S609" s="52"/>
      <c r="T609" s="52"/>
      <c r="U609" s="52"/>
      <c r="V609" s="52"/>
      <c r="W609" s="52"/>
      <c r="X609" s="52"/>
      <c r="Y609" s="52"/>
      <c r="Z609" s="52"/>
    </row>
    <row r="610" spans="1:26" ht="30" customHeight="1">
      <c r="A610" s="30" t="s">
        <v>816</v>
      </c>
      <c r="B610" s="38" t="s">
        <v>18</v>
      </c>
      <c r="C610" s="51">
        <v>43906</v>
      </c>
      <c r="D610" s="30" t="s">
        <v>19</v>
      </c>
      <c r="E610" s="30" t="s">
        <v>822</v>
      </c>
      <c r="F610" s="42" t="str">
        <f>HYPERLINK("https://www.whsv.com/content/news/Supreme-Court-of-Virginia-suspends-all-non-emergency-evictions-568873161.html","Supreme Court of Virginia suspends all non-emergency evictions")</f>
        <v>Supreme Court of Virginia suspends all non-emergency evictions</v>
      </c>
      <c r="G610" s="38" t="s">
        <v>10</v>
      </c>
      <c r="H610" s="52"/>
      <c r="I610" s="52"/>
      <c r="J610" s="52"/>
      <c r="K610" s="52"/>
      <c r="L610" s="52"/>
      <c r="M610" s="52"/>
      <c r="N610" s="52"/>
      <c r="O610" s="52"/>
      <c r="P610" s="52"/>
      <c r="Q610" s="52"/>
      <c r="R610" s="52"/>
      <c r="S610" s="52"/>
      <c r="T610" s="52"/>
      <c r="U610" s="52"/>
      <c r="V610" s="52"/>
      <c r="W610" s="52"/>
      <c r="X610" s="52"/>
      <c r="Y610" s="52"/>
      <c r="Z610" s="52"/>
    </row>
    <row r="611" spans="1:26" ht="150">
      <c r="A611" s="30" t="s">
        <v>816</v>
      </c>
      <c r="B611" s="38" t="s">
        <v>0</v>
      </c>
      <c r="C611" s="51">
        <v>43924</v>
      </c>
      <c r="D611" s="30" t="s">
        <v>49</v>
      </c>
      <c r="E611" s="30" t="s">
        <v>823</v>
      </c>
      <c r="F611" s="42" t="str">
        <f>HYPERLINK("https://www.governor.virginia.gov/newsroom/all-releases/2020/april/headline-855925-en.html","Governor Northam Announces Emergency Funding to Shelter Virginia’s Homeless Population")</f>
        <v>Governor Northam Announces Emergency Funding to Shelter Virginia’s Homeless Population</v>
      </c>
      <c r="G611" s="38" t="s">
        <v>10</v>
      </c>
      <c r="H611" s="52"/>
      <c r="I611" s="52"/>
      <c r="J611" s="52"/>
      <c r="K611" s="52"/>
      <c r="L611" s="52"/>
      <c r="M611" s="52"/>
      <c r="N611" s="52"/>
      <c r="O611" s="52"/>
      <c r="P611" s="52"/>
      <c r="Q611" s="52"/>
      <c r="R611" s="52"/>
      <c r="S611" s="52"/>
      <c r="T611" s="52"/>
      <c r="U611" s="52"/>
      <c r="V611" s="52"/>
      <c r="W611" s="52"/>
      <c r="X611" s="52"/>
      <c r="Y611" s="52"/>
      <c r="Z611" s="52"/>
    </row>
    <row r="612" spans="1:26" ht="105">
      <c r="A612" s="30" t="s">
        <v>816</v>
      </c>
      <c r="B612" s="38" t="s">
        <v>0</v>
      </c>
      <c r="C612" s="51">
        <v>44036</v>
      </c>
      <c r="D612" s="30" t="s">
        <v>13</v>
      </c>
      <c r="E612" s="30" t="s">
        <v>1208</v>
      </c>
      <c r="F612" s="43" t="s">
        <v>1209</v>
      </c>
      <c r="G612" s="38" t="s">
        <v>10</v>
      </c>
      <c r="H612" s="52"/>
      <c r="I612" s="52"/>
      <c r="J612" s="52"/>
      <c r="K612" s="52"/>
      <c r="L612" s="52"/>
      <c r="M612" s="52"/>
      <c r="N612" s="52"/>
      <c r="O612" s="52"/>
      <c r="P612" s="52"/>
      <c r="Q612" s="52"/>
      <c r="R612" s="52"/>
      <c r="S612" s="52"/>
      <c r="T612" s="52"/>
      <c r="U612" s="52"/>
      <c r="V612" s="52"/>
      <c r="W612" s="52"/>
      <c r="X612" s="52"/>
      <c r="Y612" s="52"/>
      <c r="Z612" s="52"/>
    </row>
    <row r="613" spans="1:26" ht="45">
      <c r="A613" s="30" t="s">
        <v>816</v>
      </c>
      <c r="B613" s="38" t="s">
        <v>824</v>
      </c>
      <c r="C613" s="51">
        <v>43956</v>
      </c>
      <c r="D613" s="30" t="s">
        <v>13</v>
      </c>
      <c r="E613" s="30" t="s">
        <v>825</v>
      </c>
      <c r="F613" s="43" t="s">
        <v>826</v>
      </c>
      <c r="G613" s="38" t="s">
        <v>10</v>
      </c>
      <c r="H613" s="52"/>
      <c r="I613" s="52"/>
      <c r="J613" s="52"/>
      <c r="K613" s="52"/>
      <c r="L613" s="52"/>
      <c r="M613" s="52"/>
      <c r="N613" s="52"/>
      <c r="O613" s="52"/>
      <c r="P613" s="52"/>
      <c r="Q613" s="52"/>
      <c r="R613" s="52"/>
      <c r="S613" s="52"/>
      <c r="T613" s="52"/>
      <c r="U613" s="52"/>
      <c r="V613" s="52"/>
      <c r="W613" s="52"/>
      <c r="X613" s="52"/>
      <c r="Y613" s="52"/>
      <c r="Z613" s="52"/>
    </row>
    <row r="614" spans="1:26" ht="30" customHeight="1">
      <c r="A614" s="30" t="s">
        <v>810</v>
      </c>
      <c r="B614" s="38" t="s">
        <v>827</v>
      </c>
      <c r="C614" s="51">
        <v>43913</v>
      </c>
      <c r="D614" s="30" t="s">
        <v>49</v>
      </c>
      <c r="E614" s="30" t="s">
        <v>828</v>
      </c>
      <c r="F614" s="42" t="str">
        <f>HYPERLINK("https://s3.amazonaws.com/fn-document-service/file-by-sha384/a2d8bd33cd94920452b436a0ad0fa70babad1f0da12d4336b1e50a197ae3d73a8ac8e3686e3eff92d7045f168c2eede4#page=1","City Council Agenda")</f>
        <v>City Council Agenda</v>
      </c>
      <c r="G614" s="38" t="s">
        <v>10</v>
      </c>
      <c r="H614" s="52"/>
      <c r="I614" s="52"/>
      <c r="J614" s="52"/>
      <c r="K614" s="52"/>
      <c r="L614" s="52"/>
      <c r="M614" s="52"/>
      <c r="N614" s="52"/>
      <c r="O614" s="52"/>
      <c r="P614" s="52"/>
      <c r="Q614" s="52"/>
      <c r="R614" s="52"/>
      <c r="S614" s="52"/>
      <c r="T614" s="52"/>
      <c r="U614" s="52"/>
      <c r="V614" s="52"/>
      <c r="W614" s="52"/>
      <c r="X614" s="52"/>
      <c r="Y614" s="52"/>
      <c r="Z614" s="52"/>
    </row>
    <row r="615" spans="1:26" ht="45">
      <c r="A615" s="30" t="s">
        <v>810</v>
      </c>
      <c r="B615" s="38" t="s">
        <v>829</v>
      </c>
      <c r="C615" s="51">
        <v>43957</v>
      </c>
      <c r="D615" s="30" t="s">
        <v>13</v>
      </c>
      <c r="E615" s="30" t="s">
        <v>830</v>
      </c>
      <c r="F615" s="43" t="s">
        <v>831</v>
      </c>
      <c r="G615" s="38" t="s">
        <v>10</v>
      </c>
      <c r="H615" s="52"/>
      <c r="I615" s="52"/>
      <c r="J615" s="52"/>
      <c r="K615" s="52"/>
      <c r="L615" s="52"/>
      <c r="M615" s="52"/>
      <c r="N615" s="52"/>
      <c r="O615" s="52"/>
      <c r="P615" s="52"/>
      <c r="Q615" s="52"/>
      <c r="R615" s="52"/>
      <c r="S615" s="52"/>
      <c r="T615" s="52"/>
      <c r="U615" s="52"/>
      <c r="V615" s="52"/>
      <c r="W615" s="52"/>
      <c r="X615" s="52"/>
      <c r="Y615" s="52"/>
      <c r="Z615" s="52"/>
    </row>
    <row r="616" spans="1:26" ht="30">
      <c r="A616" s="30" t="s">
        <v>810</v>
      </c>
      <c r="B616" s="38" t="s">
        <v>832</v>
      </c>
      <c r="C616" s="51">
        <v>43907</v>
      </c>
      <c r="D616" s="30" t="s">
        <v>13</v>
      </c>
      <c r="E616" s="30" t="s">
        <v>833</v>
      </c>
      <c r="F616" s="42" t="str">
        <f>HYPERLINK("https://s3.amazonaws.com/fn-document-service/file-by-sha384/68c0ed3fdfb31d403104819d0dc890c16a292b9002d76915463b03d9e1ea4ee6c429b6dbfb27173b1ecaaa0b79021400#page=7","Board of Commissioners Agenda")</f>
        <v>Board of Commissioners Agenda</v>
      </c>
      <c r="G616" s="38" t="s">
        <v>17</v>
      </c>
      <c r="H616" s="52"/>
      <c r="I616" s="52"/>
      <c r="J616" s="52"/>
      <c r="K616" s="52"/>
      <c r="L616" s="52"/>
      <c r="M616" s="52"/>
      <c r="N616" s="52"/>
      <c r="O616" s="52"/>
      <c r="P616" s="52"/>
      <c r="Q616" s="52"/>
      <c r="R616" s="52"/>
      <c r="S616" s="52"/>
      <c r="T616" s="52"/>
      <c r="U616" s="52"/>
      <c r="V616" s="52"/>
      <c r="W616" s="52"/>
      <c r="X616" s="52"/>
      <c r="Y616" s="52"/>
      <c r="Z616" s="52"/>
    </row>
    <row r="617" spans="1:26" ht="31.5" customHeight="1">
      <c r="A617" s="30" t="s">
        <v>810</v>
      </c>
      <c r="B617" s="38" t="s">
        <v>1221</v>
      </c>
      <c r="C617" s="51">
        <v>44020</v>
      </c>
      <c r="D617" s="30" t="s">
        <v>13</v>
      </c>
      <c r="E617" s="30" t="s">
        <v>1222</v>
      </c>
      <c r="F617" s="43" t="s">
        <v>1223</v>
      </c>
      <c r="G617" s="38" t="s">
        <v>10</v>
      </c>
      <c r="H617" s="52"/>
      <c r="I617" s="52"/>
      <c r="J617" s="52"/>
      <c r="K617" s="52"/>
      <c r="L617" s="52"/>
      <c r="M617" s="52"/>
      <c r="N617" s="52"/>
      <c r="O617" s="52"/>
      <c r="P617" s="52"/>
      <c r="Q617" s="52"/>
      <c r="R617" s="52"/>
      <c r="S617" s="52"/>
      <c r="T617" s="52"/>
      <c r="U617" s="52"/>
      <c r="V617" s="52"/>
      <c r="W617" s="52"/>
      <c r="X617" s="52"/>
      <c r="Y617" s="52"/>
      <c r="Z617" s="52"/>
    </row>
    <row r="618" spans="1:26" ht="30">
      <c r="A618" s="30" t="s">
        <v>810</v>
      </c>
      <c r="B618" s="38" t="s">
        <v>834</v>
      </c>
      <c r="C618" s="51">
        <v>43907</v>
      </c>
      <c r="D618" s="30" t="s">
        <v>19</v>
      </c>
      <c r="E618" s="30" t="s">
        <v>835</v>
      </c>
      <c r="F618" s="42" t="s">
        <v>836</v>
      </c>
      <c r="G618" s="38" t="s">
        <v>10</v>
      </c>
      <c r="H618" s="52"/>
      <c r="I618" s="52"/>
      <c r="J618" s="52"/>
      <c r="K618" s="52"/>
      <c r="L618" s="52"/>
      <c r="M618" s="52"/>
      <c r="N618" s="52"/>
      <c r="O618" s="52"/>
      <c r="P618" s="52"/>
      <c r="Q618" s="52"/>
      <c r="R618" s="52"/>
      <c r="S618" s="52"/>
      <c r="T618" s="52"/>
      <c r="U618" s="52"/>
      <c r="V618" s="52"/>
      <c r="W618" s="52"/>
      <c r="X618" s="52"/>
      <c r="Y618" s="52"/>
      <c r="Z618" s="52"/>
    </row>
    <row r="619" spans="1:26" ht="30">
      <c r="A619" s="30" t="s">
        <v>810</v>
      </c>
      <c r="B619" s="38" t="s">
        <v>837</v>
      </c>
      <c r="C619" s="51">
        <v>43977</v>
      </c>
      <c r="D619" s="30" t="s">
        <v>19</v>
      </c>
      <c r="E619" s="30" t="s">
        <v>838</v>
      </c>
      <c r="F619" s="43" t="s">
        <v>839</v>
      </c>
      <c r="G619" s="38" t="s">
        <v>10</v>
      </c>
      <c r="H619" s="52"/>
      <c r="I619" s="52"/>
      <c r="J619" s="52"/>
      <c r="K619" s="52"/>
      <c r="L619" s="52"/>
      <c r="M619" s="52"/>
      <c r="N619" s="52"/>
      <c r="O619" s="52"/>
      <c r="P619" s="52"/>
      <c r="Q619" s="52"/>
      <c r="R619" s="52"/>
      <c r="S619" s="52"/>
      <c r="T619" s="52"/>
      <c r="U619" s="52"/>
      <c r="V619" s="52"/>
      <c r="W619" s="52"/>
      <c r="X619" s="52"/>
      <c r="Y619" s="52"/>
      <c r="Z619" s="52"/>
    </row>
    <row r="620" spans="1:26" ht="75">
      <c r="A620" s="30" t="s">
        <v>810</v>
      </c>
      <c r="B620" s="38" t="s">
        <v>837</v>
      </c>
      <c r="C620" s="51">
        <v>43919</v>
      </c>
      <c r="D620" s="30" t="s">
        <v>49</v>
      </c>
      <c r="E620" s="30" t="s">
        <v>840</v>
      </c>
      <c r="F620" s="42" t="str">
        <f>HYPERLINK("https://www.kingcounty.gov/depts/health/news/2020/March/28-covid.aspx","Updates for March 28, 2020: New health officer order, COVID-19 support for shelters and people living homeless, and Public Health – Seattle &amp; King County announces 249 new cases of COVID-19")</f>
        <v>Updates for March 28, 2020: New health officer order, COVID-19 support for shelters and people living homeless, and Public Health – Seattle &amp; King County announces 249 new cases of COVID-19</v>
      </c>
      <c r="G620" s="38" t="s">
        <v>10</v>
      </c>
      <c r="H620" s="52"/>
      <c r="I620" s="52"/>
      <c r="J620" s="52"/>
      <c r="K620" s="52"/>
      <c r="L620" s="52"/>
      <c r="M620" s="52"/>
      <c r="N620" s="52"/>
      <c r="O620" s="52"/>
      <c r="P620" s="52"/>
      <c r="Q620" s="52"/>
      <c r="R620" s="52"/>
      <c r="S620" s="52"/>
      <c r="T620" s="52"/>
      <c r="U620" s="52"/>
      <c r="V620" s="52"/>
      <c r="W620" s="52"/>
      <c r="X620" s="52"/>
      <c r="Y620" s="52"/>
      <c r="Z620" s="52"/>
    </row>
    <row r="621" spans="1:26" ht="60">
      <c r="A621" s="30" t="s">
        <v>810</v>
      </c>
      <c r="B621" s="38" t="s">
        <v>837</v>
      </c>
      <c r="C621" s="51">
        <v>43931</v>
      </c>
      <c r="D621" s="30" t="s">
        <v>13</v>
      </c>
      <c r="E621" s="30" t="s">
        <v>841</v>
      </c>
      <c r="F621" s="42" t="str">
        <f>HYPERLINK("https://www.king5.com/article/news/health/coronavirus/king-county-united-way-home-base-program-rent-assistance/281-1fee7ea1-5937-4c36-ba11-3123db0bef91","United Way program providing $5 million in rental assistance to King County residents")</f>
        <v>United Way program providing $5 million in rental assistance to King County residents</v>
      </c>
      <c r="G621" s="38" t="s">
        <v>10</v>
      </c>
      <c r="H621" s="52"/>
      <c r="I621" s="52"/>
      <c r="J621" s="52"/>
      <c r="K621" s="52"/>
      <c r="L621" s="52"/>
      <c r="M621" s="52"/>
      <c r="N621" s="52"/>
      <c r="O621" s="52"/>
      <c r="P621" s="52"/>
      <c r="Q621" s="52"/>
      <c r="R621" s="52"/>
      <c r="S621" s="52"/>
      <c r="T621" s="52"/>
      <c r="U621" s="52"/>
      <c r="V621" s="52"/>
      <c r="W621" s="52"/>
      <c r="X621" s="52"/>
      <c r="Y621" s="52"/>
      <c r="Z621" s="52"/>
    </row>
    <row r="622" spans="1:26" ht="63" customHeight="1">
      <c r="A622" s="30" t="s">
        <v>810</v>
      </c>
      <c r="B622" s="38" t="s">
        <v>837</v>
      </c>
      <c r="C622" s="51">
        <v>43914</v>
      </c>
      <c r="D622" s="30" t="s">
        <v>8</v>
      </c>
      <c r="E622" s="30" t="s">
        <v>842</v>
      </c>
      <c r="F622" s="42" t="str">
        <f>HYPERLINK("https://www.kingcounty.gov/elected/executive/constantine/news/release/2020/March/24-jail-population.aspx","Quickly, safely reducing the jail population so staff can ensure the health of everyone in correctional facilities")</f>
        <v>Quickly, safely reducing the jail population so staff can ensure the health of everyone in correctional facilities</v>
      </c>
      <c r="G622" s="38" t="s">
        <v>10</v>
      </c>
      <c r="H622" s="52"/>
      <c r="I622" s="52"/>
      <c r="J622" s="52"/>
      <c r="K622" s="52"/>
      <c r="L622" s="52"/>
      <c r="M622" s="52"/>
      <c r="N622" s="52"/>
      <c r="O622" s="52"/>
      <c r="P622" s="52"/>
      <c r="Q622" s="52"/>
      <c r="R622" s="52"/>
      <c r="S622" s="52"/>
      <c r="T622" s="52"/>
      <c r="U622" s="52"/>
      <c r="V622" s="52"/>
      <c r="W622" s="52"/>
      <c r="X622" s="52"/>
      <c r="Y622" s="52"/>
      <c r="Z622" s="52"/>
    </row>
    <row r="623" spans="1:26" ht="45">
      <c r="A623" s="30" t="s">
        <v>810</v>
      </c>
      <c r="B623" s="38" t="s">
        <v>1491</v>
      </c>
      <c r="C623" s="51">
        <v>44119</v>
      </c>
      <c r="D623" s="30" t="s">
        <v>13</v>
      </c>
      <c r="E623" s="30" t="s">
        <v>1492</v>
      </c>
      <c r="F623" s="43" t="s">
        <v>1493</v>
      </c>
      <c r="G623" s="38" t="s">
        <v>10</v>
      </c>
      <c r="H623" s="52"/>
      <c r="I623" s="52"/>
      <c r="J623" s="52"/>
      <c r="K623" s="52"/>
      <c r="L623" s="52"/>
      <c r="M623" s="52"/>
      <c r="N623" s="52"/>
      <c r="O623" s="52"/>
      <c r="P623" s="52"/>
      <c r="Q623" s="52"/>
      <c r="R623" s="52"/>
      <c r="S623" s="52"/>
      <c r="T623" s="52"/>
      <c r="U623" s="52"/>
      <c r="V623" s="52"/>
      <c r="W623" s="52"/>
      <c r="X623" s="52"/>
      <c r="Y623" s="52"/>
      <c r="Z623" s="52"/>
    </row>
    <row r="624" spans="1:26" ht="45">
      <c r="A624" s="30" t="s">
        <v>810</v>
      </c>
      <c r="B624" s="38" t="s">
        <v>843</v>
      </c>
      <c r="C624" s="51">
        <v>43907</v>
      </c>
      <c r="D624" s="30" t="s">
        <v>19</v>
      </c>
      <c r="E624" s="30" t="s">
        <v>844</v>
      </c>
      <c r="F624" s="42" t="s">
        <v>845</v>
      </c>
      <c r="G624" s="38" t="s">
        <v>10</v>
      </c>
      <c r="H624" s="52"/>
      <c r="I624" s="52"/>
      <c r="J624" s="52"/>
      <c r="K624" s="52"/>
      <c r="L624" s="52"/>
      <c r="M624" s="52"/>
      <c r="N624" s="52"/>
      <c r="O624" s="52"/>
      <c r="P624" s="52"/>
      <c r="Q624" s="52"/>
      <c r="R624" s="52"/>
      <c r="S624" s="52"/>
      <c r="T624" s="52"/>
      <c r="U624" s="52"/>
      <c r="V624" s="52"/>
      <c r="W624" s="52"/>
      <c r="X624" s="52"/>
      <c r="Y624" s="52"/>
      <c r="Z624" s="52"/>
    </row>
    <row r="625" spans="1:26" ht="60">
      <c r="A625" s="30" t="s">
        <v>810</v>
      </c>
      <c r="B625" s="38" t="s">
        <v>843</v>
      </c>
      <c r="C625" s="51">
        <v>44036</v>
      </c>
      <c r="D625" s="30" t="s">
        <v>13</v>
      </c>
      <c r="E625" s="30" t="s">
        <v>1220</v>
      </c>
      <c r="F625" s="43" t="s">
        <v>1103</v>
      </c>
      <c r="G625" s="38" t="s">
        <v>10</v>
      </c>
      <c r="H625" s="52"/>
      <c r="I625" s="52"/>
      <c r="J625" s="52"/>
      <c r="K625" s="52"/>
      <c r="L625" s="52"/>
      <c r="M625" s="52"/>
      <c r="N625" s="52"/>
      <c r="O625" s="52"/>
      <c r="P625" s="52"/>
      <c r="Q625" s="52"/>
      <c r="R625" s="52"/>
      <c r="S625" s="52"/>
      <c r="T625" s="52"/>
      <c r="U625" s="52"/>
      <c r="V625" s="52"/>
      <c r="W625" s="52"/>
      <c r="X625" s="52"/>
      <c r="Y625" s="52"/>
      <c r="Z625" s="52"/>
    </row>
    <row r="626" spans="1:26" ht="32.25" customHeight="1">
      <c r="A626" s="30" t="s">
        <v>810</v>
      </c>
      <c r="B626" s="38" t="s">
        <v>1328</v>
      </c>
      <c r="C626" s="51">
        <v>43907</v>
      </c>
      <c r="D626" s="30" t="s">
        <v>13</v>
      </c>
      <c r="E626" s="30" t="s">
        <v>1329</v>
      </c>
      <c r="F626" s="43" t="s">
        <v>1330</v>
      </c>
      <c r="G626" s="38" t="s">
        <v>10</v>
      </c>
      <c r="H626" s="52"/>
      <c r="I626" s="52"/>
      <c r="J626" s="52"/>
      <c r="K626" s="52"/>
      <c r="L626" s="52"/>
      <c r="M626" s="52"/>
      <c r="N626" s="52"/>
      <c r="O626" s="52"/>
      <c r="P626" s="52"/>
      <c r="Q626" s="52"/>
      <c r="R626" s="52"/>
      <c r="S626" s="52"/>
      <c r="T626" s="52"/>
      <c r="U626" s="52"/>
      <c r="V626" s="52"/>
      <c r="W626" s="52"/>
      <c r="X626" s="52"/>
      <c r="Y626" s="52"/>
      <c r="Z626" s="52"/>
    </row>
    <row r="627" spans="1:26" ht="30">
      <c r="A627" s="30" t="s">
        <v>810</v>
      </c>
      <c r="B627" s="38" t="s">
        <v>846</v>
      </c>
      <c r="C627" s="51">
        <v>43934</v>
      </c>
      <c r="D627" s="30" t="s">
        <v>19</v>
      </c>
      <c r="E627" s="30" t="s">
        <v>847</v>
      </c>
      <c r="F627" s="42" t="str">
        <f>HYPERLINK("https://s3.amazonaws.com/fn-document-service/file-by-sha384/4e5fffe4678508f591e8c0d3f2c3a5c05781d35cdbaa7e3d4b2863dc6f5e56a2be28907116743260295f7d1de56c2530#page=7","City Council Agenda")</f>
        <v>City Council Agenda</v>
      </c>
      <c r="G627" s="38" t="s">
        <v>17</v>
      </c>
      <c r="H627" s="52"/>
      <c r="I627" s="52"/>
      <c r="J627" s="52"/>
      <c r="K627" s="52"/>
      <c r="L627" s="52"/>
      <c r="M627" s="52"/>
      <c r="N627" s="52"/>
      <c r="O627" s="52"/>
      <c r="P627" s="52"/>
      <c r="Q627" s="52"/>
      <c r="R627" s="52"/>
      <c r="S627" s="52"/>
      <c r="T627" s="52"/>
      <c r="U627" s="52"/>
      <c r="V627" s="52"/>
      <c r="W627" s="52"/>
      <c r="X627" s="52"/>
      <c r="Y627" s="52"/>
      <c r="Z627" s="52"/>
    </row>
    <row r="628" spans="1:26" ht="60">
      <c r="A628" s="30" t="s">
        <v>810</v>
      </c>
      <c r="B628" s="38" t="s">
        <v>848</v>
      </c>
      <c r="C628" s="51">
        <v>43903</v>
      </c>
      <c r="D628" s="30" t="s">
        <v>19</v>
      </c>
      <c r="E628" s="30" t="s">
        <v>849</v>
      </c>
      <c r="F628" s="42" t="str">
        <f>HYPERLINK("https://durkan.seattle.gov/wp-content/uploads/sites/9/2020/03/Civil-Emergency-Order-Moratorium-on-Residential-Evictions_final_3.14.2020.pdf","City of Seattle Moratorium on Residential Evictions")</f>
        <v>City of Seattle Moratorium on Residential Evictions</v>
      </c>
      <c r="G628" s="38" t="s">
        <v>10</v>
      </c>
      <c r="H628" s="52"/>
      <c r="I628" s="52"/>
      <c r="J628" s="52"/>
      <c r="K628" s="52"/>
      <c r="L628" s="52"/>
      <c r="M628" s="52"/>
      <c r="N628" s="52"/>
      <c r="O628" s="52"/>
      <c r="P628" s="52"/>
      <c r="Q628" s="52"/>
      <c r="R628" s="52"/>
      <c r="S628" s="52"/>
      <c r="T628" s="52"/>
      <c r="U628" s="52"/>
      <c r="V628" s="52"/>
      <c r="W628" s="52"/>
      <c r="X628" s="52"/>
      <c r="Y628" s="52"/>
      <c r="Z628" s="52"/>
    </row>
    <row r="629" spans="1:26" ht="32.25" customHeight="1">
      <c r="A629" s="30" t="s">
        <v>810</v>
      </c>
      <c r="B629" s="38" t="s">
        <v>848</v>
      </c>
      <c r="C629" s="51">
        <v>43962</v>
      </c>
      <c r="D629" s="30" t="s">
        <v>19</v>
      </c>
      <c r="E629" s="30" t="s">
        <v>1341</v>
      </c>
      <c r="F629" s="43" t="s">
        <v>68</v>
      </c>
      <c r="G629" s="38" t="s">
        <v>10</v>
      </c>
      <c r="H629" s="52"/>
      <c r="I629" s="52"/>
      <c r="J629" s="52"/>
      <c r="K629" s="52"/>
      <c r="L629" s="52"/>
      <c r="M629" s="52"/>
      <c r="N629" s="52"/>
      <c r="O629" s="52"/>
      <c r="P629" s="52"/>
      <c r="Q629" s="52"/>
      <c r="R629" s="52"/>
      <c r="S629" s="52"/>
      <c r="T629" s="52"/>
      <c r="U629" s="52"/>
      <c r="V629" s="52"/>
      <c r="W629" s="52"/>
      <c r="X629" s="52"/>
      <c r="Y629" s="52"/>
      <c r="Z629" s="52"/>
    </row>
    <row r="630" spans="1:26" ht="45">
      <c r="A630" s="30" t="s">
        <v>810</v>
      </c>
      <c r="B630" s="38" t="s">
        <v>848</v>
      </c>
      <c r="C630" s="51">
        <v>43962</v>
      </c>
      <c r="D630" s="30" t="s">
        <v>13</v>
      </c>
      <c r="E630" s="30" t="s">
        <v>850</v>
      </c>
      <c r="F630" s="43" t="s">
        <v>68</v>
      </c>
      <c r="G630" s="38" t="s">
        <v>10</v>
      </c>
      <c r="H630" s="52"/>
      <c r="I630" s="52"/>
      <c r="J630" s="52"/>
      <c r="K630" s="52"/>
      <c r="L630" s="52"/>
      <c r="M630" s="52"/>
      <c r="N630" s="52"/>
      <c r="O630" s="52"/>
      <c r="P630" s="52"/>
      <c r="Q630" s="52"/>
      <c r="R630" s="52"/>
      <c r="S630" s="52"/>
      <c r="T630" s="52"/>
      <c r="U630" s="52"/>
      <c r="V630" s="52"/>
      <c r="W630" s="52"/>
      <c r="X630" s="52"/>
      <c r="Y630" s="52"/>
      <c r="Z630" s="52"/>
    </row>
    <row r="631" spans="1:26" ht="47.25" customHeight="1">
      <c r="A631" s="30" t="s">
        <v>810</v>
      </c>
      <c r="B631" s="38" t="s">
        <v>848</v>
      </c>
      <c r="C631" s="51">
        <v>43963</v>
      </c>
      <c r="D631" s="30" t="s">
        <v>13</v>
      </c>
      <c r="E631" s="30" t="s">
        <v>1006</v>
      </c>
      <c r="F631" s="43" t="s">
        <v>1007</v>
      </c>
      <c r="G631" s="38" t="s">
        <v>10</v>
      </c>
      <c r="H631" s="52"/>
      <c r="I631" s="52"/>
      <c r="J631" s="52"/>
      <c r="K631" s="52"/>
      <c r="L631" s="52"/>
      <c r="M631" s="52"/>
      <c r="N631" s="52"/>
      <c r="O631" s="52"/>
      <c r="P631" s="52"/>
      <c r="Q631" s="52"/>
      <c r="R631" s="52"/>
      <c r="S631" s="52"/>
      <c r="T631" s="52"/>
      <c r="U631" s="52"/>
      <c r="V631" s="52"/>
      <c r="W631" s="52"/>
      <c r="X631" s="52"/>
      <c r="Y631" s="52"/>
      <c r="Z631" s="52"/>
    </row>
    <row r="632" spans="1:26" ht="59.25" customHeight="1">
      <c r="A632" s="30" t="s">
        <v>810</v>
      </c>
      <c r="B632" s="38" t="s">
        <v>1331</v>
      </c>
      <c r="C632" s="51">
        <v>44088</v>
      </c>
      <c r="D632" s="30" t="s">
        <v>13</v>
      </c>
      <c r="E632" s="30" t="s">
        <v>1332</v>
      </c>
      <c r="F632" s="43" t="s">
        <v>1333</v>
      </c>
      <c r="G632" s="38" t="s">
        <v>10</v>
      </c>
      <c r="H632" s="52"/>
      <c r="I632" s="52"/>
      <c r="J632" s="52"/>
      <c r="K632" s="52"/>
      <c r="L632" s="52"/>
      <c r="M632" s="52"/>
      <c r="N632" s="52"/>
      <c r="O632" s="52"/>
      <c r="P632" s="52"/>
      <c r="Q632" s="52"/>
      <c r="R632" s="52"/>
      <c r="S632" s="52"/>
      <c r="T632" s="52"/>
      <c r="U632" s="52"/>
      <c r="V632" s="52"/>
      <c r="W632" s="52"/>
      <c r="X632" s="52"/>
      <c r="Y632" s="52"/>
      <c r="Z632" s="52"/>
    </row>
    <row r="633" spans="1:26" ht="45">
      <c r="A633" s="30" t="s">
        <v>810</v>
      </c>
      <c r="B633" s="38" t="s">
        <v>851</v>
      </c>
      <c r="C633" s="51">
        <v>44027</v>
      </c>
      <c r="D633" s="30" t="s">
        <v>13</v>
      </c>
      <c r="E633" s="30" t="s">
        <v>1218</v>
      </c>
      <c r="F633" s="43" t="s">
        <v>1219</v>
      </c>
      <c r="G633" s="38" t="s">
        <v>10</v>
      </c>
      <c r="H633" s="52"/>
      <c r="I633" s="52"/>
      <c r="J633" s="52"/>
      <c r="K633" s="52"/>
      <c r="L633" s="52"/>
      <c r="M633" s="52"/>
      <c r="N633" s="52"/>
      <c r="O633" s="52"/>
      <c r="P633" s="52"/>
      <c r="Q633" s="52"/>
      <c r="R633" s="52"/>
      <c r="S633" s="52"/>
      <c r="T633" s="52"/>
      <c r="U633" s="52"/>
      <c r="V633" s="52"/>
      <c r="W633" s="52"/>
      <c r="X633" s="52"/>
      <c r="Y633" s="52"/>
      <c r="Z633" s="52"/>
    </row>
    <row r="634" spans="1:26" ht="60">
      <c r="A634" s="30" t="s">
        <v>810</v>
      </c>
      <c r="B634" s="38" t="s">
        <v>851</v>
      </c>
      <c r="C634" s="51">
        <v>43907</v>
      </c>
      <c r="D634" s="30" t="s">
        <v>8</v>
      </c>
      <c r="E634" s="30" t="s">
        <v>852</v>
      </c>
      <c r="F634" s="42" t="str">
        <f>HYPERLINK("http://www.courts.wa.gov/content/publicupload/eclips/2020%2003%2018%20Dozens%20released%20from%20Spokane%20County%20custody%20following%20Municipal%20Court%20emergency%20order.pdf","Dozens released from Spokane County custody following Municipal Court emergency order")</f>
        <v>Dozens released from Spokane County custody following Municipal Court emergency order</v>
      </c>
      <c r="G634" s="38" t="s">
        <v>10</v>
      </c>
      <c r="H634" s="52"/>
      <c r="I634" s="52"/>
      <c r="J634" s="52"/>
      <c r="K634" s="52"/>
      <c r="L634" s="52"/>
      <c r="M634" s="52"/>
      <c r="N634" s="52"/>
      <c r="O634" s="52"/>
      <c r="P634" s="52"/>
      <c r="Q634" s="52"/>
      <c r="R634" s="52"/>
      <c r="S634" s="52"/>
      <c r="T634" s="52"/>
      <c r="U634" s="52"/>
      <c r="V634" s="52"/>
      <c r="W634" s="52"/>
      <c r="X634" s="52"/>
      <c r="Y634" s="52"/>
      <c r="Z634" s="52"/>
    </row>
    <row r="635" spans="1:26" ht="60">
      <c r="A635" s="30" t="s">
        <v>810</v>
      </c>
      <c r="B635" s="38" t="s">
        <v>18</v>
      </c>
      <c r="C635" s="51">
        <v>43915</v>
      </c>
      <c r="D635" s="30" t="s">
        <v>243</v>
      </c>
      <c r="E635" s="30" t="s">
        <v>853</v>
      </c>
      <c r="F635" s="42" t="str">
        <f>HYPERLINK("https://www.governor.wa.gov/sites/default/files/proclamations/20-25%20Coronovirus%20Stay%20Safe-Stay%20Healthy%20%28tmp%29%20%28002%29.pdf","Executive Order (20-25) - 
Construction Guidance – Stay Home, Stay Healthy Proclamation (20-25)")</f>
        <v>Executive Order (20-25) - 
Construction Guidance – Stay Home, Stay Healthy Proclamation (20-25)</v>
      </c>
      <c r="G635" s="38" t="s">
        <v>10</v>
      </c>
      <c r="H635" s="52"/>
      <c r="I635" s="52"/>
      <c r="J635" s="52"/>
      <c r="K635" s="52"/>
      <c r="L635" s="52"/>
      <c r="M635" s="52"/>
      <c r="N635" s="52"/>
      <c r="O635" s="52"/>
      <c r="P635" s="52"/>
      <c r="Q635" s="52"/>
      <c r="R635" s="52"/>
      <c r="S635" s="52"/>
      <c r="T635" s="52"/>
      <c r="U635" s="52"/>
      <c r="V635" s="52"/>
      <c r="W635" s="52"/>
      <c r="X635" s="52"/>
      <c r="Y635" s="52"/>
      <c r="Z635" s="52"/>
    </row>
    <row r="636" spans="1:26" ht="60" customHeight="1">
      <c r="A636" s="30" t="s">
        <v>810</v>
      </c>
      <c r="B636" s="38" t="s">
        <v>18</v>
      </c>
      <c r="C636" s="51">
        <v>43908</v>
      </c>
      <c r="D636" s="30" t="s">
        <v>19</v>
      </c>
      <c r="E636" s="30" t="s">
        <v>854</v>
      </c>
      <c r="F636" s="43" t="str">
        <f>HYPERLINK("https://www.thenewstribune.com/news/politics-government/article241313346.html","No residential evictions for 30 days because of coronavirus, Gov. Inslee announces")</f>
        <v>No residential evictions for 30 days because of coronavirus, Gov. Inslee announces</v>
      </c>
      <c r="G636" s="38" t="s">
        <v>10</v>
      </c>
      <c r="H636" s="52"/>
      <c r="I636" s="52"/>
      <c r="J636" s="52"/>
      <c r="K636" s="52"/>
      <c r="L636" s="52"/>
      <c r="M636" s="52"/>
      <c r="N636" s="52"/>
      <c r="O636" s="52"/>
      <c r="P636" s="52"/>
      <c r="Q636" s="52"/>
      <c r="R636" s="52"/>
      <c r="S636" s="52"/>
      <c r="T636" s="52"/>
      <c r="U636" s="52"/>
      <c r="V636" s="52"/>
      <c r="W636" s="52"/>
      <c r="X636" s="52"/>
      <c r="Y636" s="52"/>
      <c r="Z636" s="52"/>
    </row>
    <row r="637" spans="1:26" ht="45" customHeight="1">
      <c r="A637" s="30" t="s">
        <v>810</v>
      </c>
      <c r="B637" s="38" t="s">
        <v>18</v>
      </c>
      <c r="C637" s="51">
        <v>44106</v>
      </c>
      <c r="D637" s="30" t="s">
        <v>40</v>
      </c>
      <c r="E637" s="30" t="s">
        <v>1324</v>
      </c>
      <c r="F637" s="43" t="s">
        <v>1325</v>
      </c>
      <c r="G637" s="38" t="s">
        <v>51</v>
      </c>
      <c r="H637" s="52"/>
      <c r="I637" s="52"/>
      <c r="J637" s="52"/>
      <c r="K637" s="52"/>
      <c r="L637" s="52"/>
      <c r="M637" s="52"/>
      <c r="N637" s="52"/>
      <c r="O637" s="52"/>
      <c r="P637" s="52"/>
      <c r="Q637" s="52"/>
      <c r="R637" s="52"/>
      <c r="S637" s="52"/>
      <c r="T637" s="52"/>
      <c r="U637" s="52"/>
      <c r="V637" s="52"/>
      <c r="W637" s="52"/>
      <c r="X637" s="52"/>
      <c r="Y637" s="52"/>
      <c r="Z637" s="52"/>
    </row>
    <row r="638" spans="1:26" ht="30">
      <c r="A638" s="30" t="s">
        <v>810</v>
      </c>
      <c r="B638" s="38" t="s">
        <v>18</v>
      </c>
      <c r="C638" s="51">
        <v>43908</v>
      </c>
      <c r="D638" s="30" t="s">
        <v>49</v>
      </c>
      <c r="E638" s="30" t="s">
        <v>855</v>
      </c>
      <c r="F638" s="42" t="str">
        <f>HYPERLINK("https://www.thenewstribune.com/news/politics-government/article241161991.html","Funding boost for COVID, homelessness programs as 2020 legislative session ends")</f>
        <v>Funding boost for COVID, homelessness programs as 2020 legislative session ends</v>
      </c>
      <c r="G638" s="38" t="s">
        <v>51</v>
      </c>
      <c r="H638" s="52"/>
      <c r="I638" s="52"/>
      <c r="J638" s="52"/>
      <c r="K638" s="52"/>
      <c r="L638" s="52"/>
      <c r="M638" s="52"/>
      <c r="N638" s="52"/>
      <c r="O638" s="52"/>
      <c r="P638" s="52"/>
      <c r="Q638" s="52"/>
      <c r="R638" s="52"/>
      <c r="S638" s="52"/>
      <c r="T638" s="52"/>
      <c r="U638" s="52"/>
      <c r="V638" s="52"/>
      <c r="W638" s="52"/>
      <c r="X638" s="52"/>
      <c r="Y638" s="52"/>
      <c r="Z638" s="52"/>
    </row>
    <row r="639" spans="1:26" ht="60">
      <c r="A639" s="30" t="s">
        <v>810</v>
      </c>
      <c r="B639" s="38" t="s">
        <v>18</v>
      </c>
      <c r="C639" s="51">
        <v>43908</v>
      </c>
      <c r="D639" s="30" t="s">
        <v>49</v>
      </c>
      <c r="E639" s="30" t="s">
        <v>856</v>
      </c>
      <c r="F639" s="42" t="str">
        <f>HYPERLINK("https://www.commerce.wa.gov/covid-19-homeless-services/","COVID-19 Information and Updates for Homeless Service Grantees - Washington State Department of Commerce")</f>
        <v>COVID-19 Information and Updates for Homeless Service Grantees - Washington State Department of Commerce</v>
      </c>
      <c r="G639" s="38" t="s">
        <v>10</v>
      </c>
      <c r="H639" s="52"/>
      <c r="I639" s="52"/>
      <c r="J639" s="52"/>
      <c r="K639" s="52"/>
      <c r="L639" s="52"/>
      <c r="M639" s="52"/>
      <c r="N639" s="52"/>
      <c r="O639" s="52"/>
      <c r="P639" s="52"/>
      <c r="Q639" s="52"/>
      <c r="R639" s="52"/>
      <c r="S639" s="52"/>
      <c r="T639" s="52"/>
      <c r="U639" s="52"/>
      <c r="V639" s="52"/>
      <c r="W639" s="52"/>
      <c r="X639" s="52"/>
      <c r="Y639" s="52"/>
      <c r="Z639" s="52"/>
    </row>
    <row r="640" spans="1:26" ht="60">
      <c r="A640" s="30" t="s">
        <v>810</v>
      </c>
      <c r="B640" s="38" t="s">
        <v>18</v>
      </c>
      <c r="C640" s="51">
        <v>43949</v>
      </c>
      <c r="D640" s="30" t="s">
        <v>13</v>
      </c>
      <c r="E640" s="30" t="s">
        <v>994</v>
      </c>
      <c r="F640" s="43" t="s">
        <v>857</v>
      </c>
      <c r="G640" s="38" t="s">
        <v>10</v>
      </c>
      <c r="H640" s="52"/>
      <c r="I640" s="52"/>
      <c r="J640" s="52"/>
      <c r="K640" s="52"/>
      <c r="L640" s="52"/>
      <c r="M640" s="52"/>
      <c r="N640" s="52"/>
      <c r="O640" s="52"/>
      <c r="P640" s="52"/>
      <c r="Q640" s="52"/>
      <c r="R640" s="52"/>
      <c r="S640" s="52"/>
      <c r="T640" s="52"/>
      <c r="U640" s="52"/>
      <c r="V640" s="52"/>
      <c r="W640" s="52"/>
      <c r="X640" s="52"/>
      <c r="Y640" s="52"/>
      <c r="Z640" s="52"/>
    </row>
    <row r="641" spans="1:26" ht="45">
      <c r="A641" s="30" t="s">
        <v>810</v>
      </c>
      <c r="B641" s="38" t="s">
        <v>18</v>
      </c>
      <c r="C641" s="51">
        <v>44036</v>
      </c>
      <c r="D641" s="30" t="s">
        <v>13</v>
      </c>
      <c r="E641" s="30" t="s">
        <v>1217</v>
      </c>
      <c r="F641" s="43" t="s">
        <v>1216</v>
      </c>
      <c r="G641" s="38" t="s">
        <v>10</v>
      </c>
      <c r="H641" s="52"/>
      <c r="I641" s="52"/>
      <c r="J641" s="52"/>
      <c r="K641" s="52"/>
      <c r="L641" s="52"/>
      <c r="M641" s="52"/>
      <c r="N641" s="52"/>
      <c r="O641" s="52"/>
      <c r="P641" s="52"/>
      <c r="Q641" s="52"/>
      <c r="R641" s="52"/>
      <c r="S641" s="52"/>
      <c r="T641" s="52"/>
      <c r="U641" s="52"/>
      <c r="V641" s="52"/>
      <c r="W641" s="52"/>
      <c r="X641" s="52"/>
      <c r="Y641" s="52"/>
      <c r="Z641" s="52"/>
    </row>
    <row r="642" spans="1:26" ht="45">
      <c r="A642" s="30" t="s">
        <v>810</v>
      </c>
      <c r="B642" s="38" t="s">
        <v>18</v>
      </c>
      <c r="C642" s="51">
        <v>43910</v>
      </c>
      <c r="D642" s="30" t="s">
        <v>8</v>
      </c>
      <c r="E642" s="30" t="s">
        <v>858</v>
      </c>
      <c r="F642" s="43" t="s">
        <v>859</v>
      </c>
      <c r="G642" s="38" t="s">
        <v>10</v>
      </c>
      <c r="H642" s="52"/>
      <c r="I642" s="52"/>
      <c r="J642" s="52"/>
      <c r="K642" s="52"/>
      <c r="L642" s="52"/>
      <c r="M642" s="52"/>
      <c r="N642" s="52"/>
      <c r="O642" s="52"/>
      <c r="P642" s="52"/>
      <c r="Q642" s="52"/>
      <c r="R642" s="52"/>
      <c r="S642" s="52"/>
      <c r="T642" s="52"/>
      <c r="U642" s="52"/>
      <c r="V642" s="52"/>
      <c r="W642" s="52"/>
      <c r="X642" s="52"/>
      <c r="Y642" s="52"/>
      <c r="Z642" s="52"/>
    </row>
    <row r="643" spans="1:26" ht="30">
      <c r="A643" s="30" t="s">
        <v>810</v>
      </c>
      <c r="B643" s="38" t="s">
        <v>860</v>
      </c>
      <c r="C643" s="51">
        <v>43942</v>
      </c>
      <c r="D643" s="30" t="s">
        <v>19</v>
      </c>
      <c r="E643" s="30" t="s">
        <v>861</v>
      </c>
      <c r="F643" s="43" t="s">
        <v>68</v>
      </c>
      <c r="G643" s="38" t="s">
        <v>10</v>
      </c>
      <c r="H643" s="52"/>
      <c r="I643" s="52"/>
      <c r="J643" s="52"/>
      <c r="K643" s="52"/>
      <c r="L643" s="52"/>
      <c r="M643" s="52"/>
      <c r="N643" s="52"/>
      <c r="O643" s="52"/>
      <c r="P643" s="52"/>
      <c r="Q643" s="52"/>
      <c r="R643" s="52"/>
      <c r="S643" s="52"/>
      <c r="T643" s="52"/>
      <c r="U643" s="52"/>
      <c r="V643" s="52"/>
      <c r="W643" s="52"/>
      <c r="X643" s="52"/>
      <c r="Y643" s="52"/>
      <c r="Z643" s="52"/>
    </row>
    <row r="644" spans="1:26" ht="60">
      <c r="A644" s="30" t="s">
        <v>810</v>
      </c>
      <c r="B644" s="38" t="s">
        <v>860</v>
      </c>
      <c r="C644" s="51">
        <v>43949</v>
      </c>
      <c r="D644" s="30" t="s">
        <v>13</v>
      </c>
      <c r="E644" s="30" t="s">
        <v>862</v>
      </c>
      <c r="F644" s="43" t="s">
        <v>863</v>
      </c>
      <c r="G644" s="38" t="s">
        <v>10</v>
      </c>
      <c r="H644" s="52"/>
      <c r="I644" s="52"/>
      <c r="J644" s="52"/>
      <c r="K644" s="52"/>
      <c r="L644" s="52"/>
      <c r="M644" s="52"/>
      <c r="N644" s="52"/>
      <c r="O644" s="52"/>
      <c r="P644" s="52"/>
      <c r="Q644" s="52"/>
      <c r="R644" s="52"/>
      <c r="S644" s="52"/>
      <c r="T644" s="52"/>
      <c r="U644" s="52"/>
      <c r="V644" s="52"/>
      <c r="W644" s="52"/>
      <c r="X644" s="52"/>
      <c r="Y644" s="52"/>
      <c r="Z644" s="52"/>
    </row>
    <row r="645" spans="1:26" ht="30">
      <c r="A645" s="30" t="s">
        <v>810</v>
      </c>
      <c r="B645" s="38" t="s">
        <v>864</v>
      </c>
      <c r="C645" s="51">
        <v>43914</v>
      </c>
      <c r="D645" s="30" t="s">
        <v>19</v>
      </c>
      <c r="E645" s="30" t="s">
        <v>865</v>
      </c>
      <c r="F645" s="42" t="str">
        <f>HYPERLINK("https://s3.amazonaws.com/fn-document-service/file-by-sha384/f6d3add3744557830c03d62285086e9e7c861d3d3e25050eaf177aa852452dfa40bc7733bc3e058b3b5aeaf68df8db5c#page=3","County Council Agenda")</f>
        <v>County Council Agenda</v>
      </c>
      <c r="G645" s="38" t="s">
        <v>10</v>
      </c>
      <c r="H645" s="52"/>
      <c r="I645" s="52"/>
      <c r="J645" s="52"/>
      <c r="K645" s="52"/>
      <c r="L645" s="52"/>
      <c r="M645" s="52"/>
      <c r="N645" s="52"/>
      <c r="O645" s="52"/>
      <c r="P645" s="52"/>
      <c r="Q645" s="52"/>
      <c r="R645" s="52"/>
      <c r="S645" s="52"/>
      <c r="T645" s="52"/>
      <c r="U645" s="52"/>
      <c r="V645" s="52"/>
      <c r="W645" s="52"/>
      <c r="X645" s="52"/>
      <c r="Y645" s="52"/>
      <c r="Z645" s="52"/>
    </row>
    <row r="646" spans="1:26" ht="45">
      <c r="A646" s="30" t="s">
        <v>810</v>
      </c>
      <c r="B646" s="38" t="s">
        <v>864</v>
      </c>
      <c r="C646" s="51">
        <v>43914</v>
      </c>
      <c r="D646" s="30" t="s">
        <v>13</v>
      </c>
      <c r="E646" s="30" t="s">
        <v>866</v>
      </c>
      <c r="F646" s="42" t="str">
        <f>HYPERLINK("https://s3.amazonaws.com/fn-document-service/file-by-sha384/f6d3add3744557830c03d62285086e9e7c861d3d3e25050eaf177aa852452dfa40bc7733bc3e058b3b5aeaf68df8db5c#page=3","County Council Agenda")</f>
        <v>County Council Agenda</v>
      </c>
      <c r="G646" s="38" t="s">
        <v>10</v>
      </c>
      <c r="H646" s="52"/>
      <c r="I646" s="52"/>
      <c r="J646" s="52"/>
      <c r="K646" s="52"/>
      <c r="L646" s="52"/>
      <c r="M646" s="52"/>
      <c r="N646" s="52"/>
      <c r="O646" s="52"/>
      <c r="P646" s="52"/>
      <c r="Q646" s="52"/>
      <c r="R646" s="52"/>
      <c r="S646" s="52"/>
      <c r="T646" s="52"/>
      <c r="U646" s="52"/>
      <c r="V646" s="52"/>
      <c r="W646" s="52"/>
      <c r="X646" s="52"/>
      <c r="Y646" s="52"/>
      <c r="Z646" s="52"/>
    </row>
    <row r="647" spans="1:26" ht="75">
      <c r="A647" s="30" t="s">
        <v>867</v>
      </c>
      <c r="B647" s="38" t="s">
        <v>18</v>
      </c>
      <c r="C647" s="51">
        <v>43913</v>
      </c>
      <c r="D647" s="30" t="s">
        <v>243</v>
      </c>
      <c r="E647" s="30" t="s">
        <v>868</v>
      </c>
      <c r="F647" s="42" t="str">
        <f>HYPERLINK("https://governor.wv.gov/Documents/2020%20Executive%20Orders/STAY-AT-HOME-ORDER-MARCH-23-2020.pdf","COVID-19 UPDATE: Gov. Justice issues “Stay At Home” order for all West Virginians")</f>
        <v>COVID-19 UPDATE: Gov. Justice issues “Stay At Home” order for all West Virginians</v>
      </c>
      <c r="G647" s="38" t="s">
        <v>10</v>
      </c>
      <c r="H647" s="52"/>
      <c r="I647" s="52"/>
      <c r="J647" s="52"/>
      <c r="K647" s="52"/>
      <c r="L647" s="52"/>
      <c r="M647" s="52"/>
      <c r="N647" s="52"/>
      <c r="O647" s="52"/>
      <c r="P647" s="52"/>
      <c r="Q647" s="52"/>
      <c r="R647" s="52"/>
      <c r="S647" s="52"/>
      <c r="T647" s="52"/>
      <c r="U647" s="52"/>
      <c r="V647" s="52"/>
      <c r="W647" s="52"/>
      <c r="X647" s="52"/>
      <c r="Y647" s="52"/>
      <c r="Z647" s="52"/>
    </row>
    <row r="648" spans="1:26" ht="60">
      <c r="A648" s="30" t="s">
        <v>811</v>
      </c>
      <c r="B648" s="38" t="s">
        <v>1083</v>
      </c>
      <c r="C648" s="51">
        <v>44005</v>
      </c>
      <c r="D648" s="30" t="s">
        <v>13</v>
      </c>
      <c r="E648" s="30" t="s">
        <v>1081</v>
      </c>
      <c r="F648" s="43" t="s">
        <v>1082</v>
      </c>
      <c r="G648" s="38" t="s">
        <v>10</v>
      </c>
      <c r="H648" s="52"/>
      <c r="I648" s="52"/>
      <c r="J648" s="52"/>
      <c r="K648" s="52"/>
      <c r="L648" s="52"/>
      <c r="M648" s="52"/>
      <c r="N648" s="52"/>
      <c r="O648" s="52"/>
      <c r="P648" s="52"/>
      <c r="Q648" s="52"/>
      <c r="R648" s="52"/>
      <c r="S648" s="52"/>
      <c r="T648" s="52"/>
      <c r="U648" s="52"/>
      <c r="V648" s="52"/>
      <c r="W648" s="52"/>
      <c r="X648" s="52"/>
      <c r="Y648" s="52"/>
      <c r="Z648" s="52"/>
    </row>
    <row r="649" spans="1:26" ht="45">
      <c r="A649" s="30" t="s">
        <v>811</v>
      </c>
      <c r="B649" s="38" t="s">
        <v>1084</v>
      </c>
      <c r="C649" s="51">
        <v>44005</v>
      </c>
      <c r="D649" s="30" t="s">
        <v>13</v>
      </c>
      <c r="E649" s="30" t="s">
        <v>1085</v>
      </c>
      <c r="F649" s="43" t="s">
        <v>1086</v>
      </c>
      <c r="G649" s="38" t="s">
        <v>10</v>
      </c>
      <c r="H649" s="52"/>
      <c r="I649" s="52"/>
      <c r="J649" s="52"/>
      <c r="K649" s="52"/>
      <c r="L649" s="52"/>
      <c r="M649" s="52"/>
      <c r="N649" s="52"/>
      <c r="O649" s="52"/>
      <c r="P649" s="52"/>
      <c r="Q649" s="52"/>
      <c r="R649" s="52"/>
      <c r="S649" s="52"/>
      <c r="T649" s="52"/>
      <c r="U649" s="52"/>
      <c r="V649" s="52"/>
      <c r="W649" s="52"/>
      <c r="X649" s="52"/>
      <c r="Y649" s="52"/>
      <c r="Z649" s="52"/>
    </row>
    <row r="650" spans="1:26" ht="60">
      <c r="A650" s="30" t="s">
        <v>811</v>
      </c>
      <c r="B650" s="38" t="s">
        <v>1029</v>
      </c>
      <c r="C650" s="51">
        <v>43916</v>
      </c>
      <c r="D650" s="30" t="s">
        <v>13</v>
      </c>
      <c r="E650" s="30" t="s">
        <v>1031</v>
      </c>
      <c r="F650" s="43" t="s">
        <v>1030</v>
      </c>
      <c r="G650" s="38" t="s">
        <v>10</v>
      </c>
      <c r="H650" s="52"/>
      <c r="I650" s="52"/>
      <c r="J650" s="52"/>
      <c r="K650" s="52"/>
      <c r="L650" s="52"/>
      <c r="M650" s="52"/>
      <c r="N650" s="52"/>
      <c r="O650" s="52"/>
      <c r="P650" s="52"/>
      <c r="Q650" s="52"/>
      <c r="R650" s="52"/>
      <c r="S650" s="52"/>
      <c r="T650" s="52"/>
      <c r="U650" s="52"/>
      <c r="V650" s="52"/>
      <c r="W650" s="52"/>
      <c r="X650" s="52"/>
      <c r="Y650" s="52"/>
      <c r="Z650" s="52"/>
    </row>
    <row r="651" spans="1:26" ht="75">
      <c r="A651" s="30" t="s">
        <v>811</v>
      </c>
      <c r="B651" s="38" t="s">
        <v>812</v>
      </c>
      <c r="C651" s="51">
        <v>44036</v>
      </c>
      <c r="D651" s="30" t="s">
        <v>13</v>
      </c>
      <c r="E651" s="30" t="s">
        <v>1224</v>
      </c>
      <c r="F651" s="43" t="s">
        <v>1225</v>
      </c>
      <c r="G651" s="38" t="s">
        <v>10</v>
      </c>
      <c r="H651" s="52"/>
      <c r="I651" s="52"/>
      <c r="J651" s="52"/>
      <c r="K651" s="52"/>
      <c r="L651" s="52"/>
      <c r="M651" s="52"/>
      <c r="N651" s="52"/>
      <c r="O651" s="52"/>
      <c r="P651" s="52"/>
      <c r="Q651" s="52"/>
      <c r="R651" s="52"/>
      <c r="S651" s="52"/>
      <c r="T651" s="52"/>
      <c r="U651" s="52"/>
      <c r="V651" s="52"/>
      <c r="W651" s="52"/>
      <c r="X651" s="52"/>
      <c r="Y651" s="52"/>
      <c r="Z651" s="52"/>
    </row>
    <row r="652" spans="1:26" ht="165">
      <c r="A652" s="30" t="s">
        <v>811</v>
      </c>
      <c r="B652" s="38" t="s">
        <v>812</v>
      </c>
      <c r="C652" s="51">
        <v>43950</v>
      </c>
      <c r="D652" s="30" t="s">
        <v>154</v>
      </c>
      <c r="E652" s="30" t="s">
        <v>813</v>
      </c>
      <c r="F652" s="43" t="s">
        <v>814</v>
      </c>
      <c r="G652" s="38" t="s">
        <v>10</v>
      </c>
      <c r="H652" s="52"/>
      <c r="I652" s="52"/>
      <c r="J652" s="52"/>
      <c r="K652" s="52"/>
      <c r="L652" s="52"/>
      <c r="M652" s="52"/>
      <c r="N652" s="52"/>
      <c r="O652" s="52"/>
      <c r="P652" s="52"/>
      <c r="Q652" s="52"/>
      <c r="R652" s="52"/>
      <c r="S652" s="52"/>
      <c r="T652" s="52"/>
      <c r="U652" s="52"/>
      <c r="V652" s="52"/>
      <c r="W652" s="52"/>
      <c r="X652" s="52"/>
      <c r="Y652" s="52"/>
      <c r="Z652" s="52"/>
    </row>
    <row r="653" spans="1:26" ht="75">
      <c r="A653" s="30" t="s">
        <v>811</v>
      </c>
      <c r="B653" s="38" t="s">
        <v>1226</v>
      </c>
      <c r="C653" s="51">
        <v>44011</v>
      </c>
      <c r="D653" s="30" t="s">
        <v>13</v>
      </c>
      <c r="E653" s="30" t="s">
        <v>1227</v>
      </c>
      <c r="F653" s="43" t="s">
        <v>1228</v>
      </c>
      <c r="G653" s="38" t="s">
        <v>10</v>
      </c>
      <c r="H653" s="52"/>
      <c r="I653" s="52"/>
      <c r="J653" s="52"/>
      <c r="K653" s="52"/>
      <c r="L653" s="52"/>
      <c r="M653" s="52"/>
      <c r="N653" s="52"/>
      <c r="O653" s="52"/>
      <c r="P653" s="52"/>
      <c r="Q653" s="52"/>
      <c r="R653" s="52"/>
      <c r="S653" s="52"/>
      <c r="T653" s="52"/>
      <c r="U653" s="52"/>
      <c r="V653" s="52"/>
      <c r="W653" s="52"/>
      <c r="X653" s="52"/>
      <c r="Y653" s="52"/>
      <c r="Z653" s="52"/>
    </row>
    <row r="654" spans="1:26" ht="120">
      <c r="A654" s="30" t="s">
        <v>869</v>
      </c>
      <c r="B654" s="38" t="s">
        <v>18</v>
      </c>
      <c r="C654" s="51">
        <v>43914</v>
      </c>
      <c r="D654" s="30" t="s">
        <v>243</v>
      </c>
      <c r="E654" s="30" t="s">
        <v>870</v>
      </c>
      <c r="F654" s="42" t="str">
        <f>HYPERLINK("https://evers.wi.gov/Documents/COVID19/EMO12-SaferAtHome.pdf","Emergency Order #12 - Safer at Home Order")</f>
        <v>Emergency Order #12 - Safer at Home Order</v>
      </c>
      <c r="G654" s="38" t="s">
        <v>10</v>
      </c>
      <c r="H654" s="52"/>
      <c r="I654" s="52"/>
      <c r="J654" s="52"/>
      <c r="K654" s="52"/>
      <c r="L654" s="52"/>
      <c r="M654" s="52"/>
      <c r="N654" s="52"/>
      <c r="O654" s="52"/>
      <c r="P654" s="52"/>
      <c r="Q654" s="52"/>
      <c r="R654" s="52"/>
      <c r="S654" s="52"/>
      <c r="T654" s="52"/>
      <c r="U654" s="52"/>
      <c r="V654" s="52"/>
      <c r="W654" s="52"/>
      <c r="X654" s="52"/>
      <c r="Y654" s="52"/>
      <c r="Z654" s="52"/>
    </row>
    <row r="655" spans="1:26" ht="30">
      <c r="A655" s="30" t="s">
        <v>869</v>
      </c>
      <c r="B655" s="38" t="s">
        <v>18</v>
      </c>
      <c r="C655" s="51">
        <v>43917</v>
      </c>
      <c r="D655" s="30" t="s">
        <v>19</v>
      </c>
      <c r="E655" s="30" t="s">
        <v>871</v>
      </c>
      <c r="F655" s="42" t="str">
        <f>HYPERLINK("https://content.govdelivery.com/attachments/WIGOV/2020/03/27/file_attachments/1412941/EO%2015%20Ban%20on%20Evictions%20and%20Foreclosures%20PDF.pdf","Emergency Order #15 - Temporary Ban on Evictions and Foreclosures")</f>
        <v>Emergency Order #15 - Temporary Ban on Evictions and Foreclosures</v>
      </c>
      <c r="G655" s="38" t="s">
        <v>10</v>
      </c>
      <c r="H655" s="52"/>
      <c r="I655" s="52"/>
      <c r="J655" s="52"/>
      <c r="K655" s="52"/>
      <c r="L655" s="52"/>
      <c r="M655" s="52"/>
      <c r="N655" s="52"/>
      <c r="O655" s="52"/>
      <c r="P655" s="52"/>
      <c r="Q655" s="52"/>
      <c r="R655" s="52"/>
      <c r="S655" s="52"/>
      <c r="T655" s="52"/>
      <c r="U655" s="52"/>
      <c r="V655" s="52"/>
      <c r="W655" s="52"/>
      <c r="X655" s="52"/>
      <c r="Y655" s="52"/>
      <c r="Z655" s="52"/>
    </row>
    <row r="656" spans="1:26" ht="47.25" customHeight="1">
      <c r="A656" s="60" t="s">
        <v>869</v>
      </c>
      <c r="B656" s="49" t="s">
        <v>18</v>
      </c>
      <c r="C656" s="73">
        <v>43971</v>
      </c>
      <c r="D656" s="60" t="s">
        <v>13</v>
      </c>
      <c r="E656" s="60" t="s">
        <v>872</v>
      </c>
      <c r="F656" s="72" t="s">
        <v>873</v>
      </c>
      <c r="G656" s="49" t="s">
        <v>10</v>
      </c>
    </row>
    <row r="657" spans="1:26" ht="90">
      <c r="A657" s="30" t="s">
        <v>869</v>
      </c>
      <c r="B657" s="38" t="s">
        <v>18</v>
      </c>
      <c r="C657" s="51">
        <v>43923</v>
      </c>
      <c r="D657" s="30" t="s">
        <v>8</v>
      </c>
      <c r="E657" s="30" t="s">
        <v>874</v>
      </c>
      <c r="F657" s="42" t="str">
        <f>HYPERLINK("https://doc.wi.gov/Pages/COVID19(Coronavirus)/COVID19.aspx","​A Message From Secretary Kevin A. Carr")</f>
        <v>​A Message From Secretary Kevin A. Carr</v>
      </c>
      <c r="G657" s="38" t="s">
        <v>10</v>
      </c>
      <c r="H657" s="52"/>
      <c r="I657" s="52"/>
      <c r="J657" s="52"/>
      <c r="K657" s="52"/>
      <c r="L657" s="52"/>
      <c r="M657" s="52"/>
      <c r="N657" s="52"/>
      <c r="O657" s="52"/>
      <c r="P657" s="52"/>
      <c r="Q657" s="52"/>
      <c r="R657" s="52"/>
      <c r="S657" s="52"/>
      <c r="T657" s="52"/>
      <c r="U657" s="52"/>
      <c r="V657" s="52"/>
      <c r="W657" s="52"/>
      <c r="X657" s="52"/>
      <c r="Y657" s="52"/>
      <c r="Z657" s="52"/>
    </row>
    <row r="658" spans="1:26" s="61" customFormat="1" ht="48" customHeight="1">
      <c r="A658" s="30" t="s">
        <v>875</v>
      </c>
      <c r="B658" s="38" t="s">
        <v>18</v>
      </c>
      <c r="C658" s="51">
        <v>43967</v>
      </c>
      <c r="D658" s="30" t="s">
        <v>13</v>
      </c>
      <c r="E658" s="30" t="s">
        <v>876</v>
      </c>
      <c r="F658" s="43" t="s">
        <v>877</v>
      </c>
      <c r="G658" s="38" t="s">
        <v>10</v>
      </c>
      <c r="H658" s="52"/>
      <c r="I658" s="52"/>
      <c r="J658" s="52"/>
      <c r="K658" s="52"/>
      <c r="L658" s="52"/>
      <c r="M658" s="52"/>
      <c r="N658" s="52"/>
      <c r="O658" s="52"/>
      <c r="P658" s="52"/>
      <c r="Q658" s="52"/>
      <c r="R658" s="52"/>
      <c r="S658" s="52"/>
      <c r="T658" s="52"/>
      <c r="U658" s="52"/>
      <c r="V658" s="52"/>
      <c r="W658" s="52"/>
      <c r="X658" s="52"/>
      <c r="Y658" s="52"/>
      <c r="Z658" s="52"/>
    </row>
    <row r="659" spans="1:26" ht="15.75" customHeight="1">
      <c r="A659" s="52"/>
      <c r="B659" s="62"/>
      <c r="C659" s="52"/>
      <c r="D659" s="52"/>
      <c r="E659" s="52"/>
      <c r="F659" s="71"/>
      <c r="G659" s="62"/>
      <c r="H659" s="52"/>
      <c r="I659" s="52"/>
      <c r="J659" s="52"/>
      <c r="K659" s="52"/>
      <c r="L659" s="52"/>
      <c r="M659" s="52"/>
      <c r="N659" s="52"/>
      <c r="O659" s="52"/>
      <c r="P659" s="52"/>
      <c r="Q659" s="52"/>
      <c r="R659" s="52"/>
      <c r="S659" s="52"/>
      <c r="T659" s="52"/>
      <c r="U659" s="52"/>
      <c r="V659" s="52"/>
      <c r="W659" s="52"/>
      <c r="X659" s="52"/>
      <c r="Y659" s="52"/>
      <c r="Z659" s="52"/>
    </row>
    <row r="660" spans="1:26" ht="15.75" customHeight="1">
      <c r="A660" s="52"/>
      <c r="B660" s="62"/>
      <c r="C660" s="52"/>
      <c r="D660" s="52"/>
      <c r="E660" s="52"/>
      <c r="F660" s="71"/>
      <c r="G660" s="62"/>
      <c r="H660" s="52"/>
      <c r="I660" s="52"/>
      <c r="J660" s="52"/>
      <c r="K660" s="52"/>
      <c r="L660" s="52"/>
      <c r="M660" s="52"/>
      <c r="N660" s="52"/>
      <c r="O660" s="52"/>
      <c r="P660" s="52"/>
      <c r="Q660" s="52"/>
      <c r="R660" s="52"/>
      <c r="S660" s="52"/>
      <c r="T660" s="52"/>
      <c r="U660" s="52"/>
      <c r="V660" s="52"/>
      <c r="W660" s="52"/>
      <c r="X660" s="52"/>
      <c r="Y660" s="52"/>
      <c r="Z660" s="52"/>
    </row>
    <row r="661" spans="1:26" ht="15.75" customHeight="1">
      <c r="A661" s="52"/>
      <c r="B661" s="62"/>
      <c r="C661" s="52"/>
      <c r="D661" s="52"/>
      <c r="E661" s="52"/>
      <c r="F661" s="71"/>
      <c r="G661" s="62"/>
      <c r="H661" s="52"/>
      <c r="I661" s="52"/>
      <c r="J661" s="52"/>
      <c r="K661" s="52"/>
      <c r="L661" s="52"/>
      <c r="M661" s="52"/>
      <c r="N661" s="52"/>
      <c r="O661" s="52"/>
      <c r="P661" s="52"/>
      <c r="Q661" s="52"/>
      <c r="R661" s="52"/>
      <c r="S661" s="52"/>
      <c r="T661" s="52"/>
      <c r="U661" s="52"/>
      <c r="V661" s="52"/>
      <c r="W661" s="52"/>
      <c r="X661" s="52"/>
      <c r="Y661" s="52"/>
      <c r="Z661" s="52"/>
    </row>
    <row r="662" spans="1:26" ht="15.75" customHeight="1">
      <c r="A662" s="52"/>
      <c r="B662" s="62"/>
      <c r="C662" s="52"/>
      <c r="D662" s="52"/>
      <c r="E662" s="52"/>
      <c r="F662" s="71"/>
      <c r="G662" s="62"/>
      <c r="H662" s="52"/>
      <c r="I662" s="52"/>
      <c r="J662" s="52"/>
      <c r="K662" s="52"/>
      <c r="L662" s="52"/>
      <c r="M662" s="52"/>
      <c r="N662" s="52"/>
      <c r="O662" s="52"/>
      <c r="P662" s="52"/>
      <c r="Q662" s="52"/>
      <c r="R662" s="52"/>
      <c r="S662" s="52"/>
      <c r="T662" s="52"/>
      <c r="U662" s="52"/>
      <c r="V662" s="52"/>
      <c r="W662" s="52"/>
      <c r="X662" s="52"/>
      <c r="Y662" s="52"/>
      <c r="Z662" s="52"/>
    </row>
    <row r="663" spans="1:26" ht="15.75" customHeight="1">
      <c r="A663" s="52"/>
      <c r="B663" s="62"/>
      <c r="C663" s="52"/>
      <c r="D663" s="52"/>
      <c r="E663" s="52"/>
      <c r="F663" s="71"/>
      <c r="G663" s="62"/>
      <c r="H663" s="52"/>
      <c r="I663" s="52"/>
      <c r="J663" s="52"/>
      <c r="K663" s="52"/>
      <c r="L663" s="52"/>
      <c r="M663" s="52"/>
      <c r="N663" s="52"/>
      <c r="O663" s="52"/>
      <c r="P663" s="52"/>
      <c r="Q663" s="52"/>
      <c r="R663" s="52"/>
      <c r="S663" s="52"/>
      <c r="T663" s="52"/>
      <c r="U663" s="52"/>
      <c r="V663" s="52"/>
      <c r="W663" s="52"/>
      <c r="X663" s="52"/>
      <c r="Y663" s="52"/>
      <c r="Z663" s="52"/>
    </row>
    <row r="664" spans="1:26" ht="15.75" customHeight="1">
      <c r="A664" s="52"/>
      <c r="B664" s="62"/>
      <c r="C664" s="52"/>
      <c r="D664" s="52"/>
      <c r="E664" s="52"/>
      <c r="F664" s="71"/>
      <c r="G664" s="62"/>
      <c r="H664" s="52"/>
      <c r="I664" s="52"/>
      <c r="J664" s="52"/>
      <c r="K664" s="52"/>
      <c r="L664" s="52"/>
      <c r="M664" s="52"/>
      <c r="N664" s="52"/>
      <c r="O664" s="52"/>
      <c r="P664" s="52"/>
      <c r="Q664" s="52"/>
      <c r="R664" s="52"/>
      <c r="S664" s="52"/>
      <c r="T664" s="52"/>
      <c r="U664" s="52"/>
      <c r="V664" s="52"/>
      <c r="W664" s="52"/>
      <c r="X664" s="52"/>
      <c r="Y664" s="52"/>
      <c r="Z664" s="52"/>
    </row>
    <row r="665" spans="1:26" ht="15.75" customHeight="1">
      <c r="A665" s="52"/>
      <c r="B665" s="62"/>
      <c r="C665" s="52"/>
      <c r="D665" s="52"/>
      <c r="E665" s="52"/>
      <c r="F665" s="71"/>
      <c r="G665" s="62"/>
      <c r="H665" s="52"/>
      <c r="I665" s="52"/>
      <c r="J665" s="52"/>
      <c r="K665" s="52"/>
      <c r="L665" s="52"/>
      <c r="M665" s="52"/>
      <c r="N665" s="52"/>
      <c r="O665" s="52"/>
      <c r="P665" s="52"/>
      <c r="Q665" s="52"/>
      <c r="R665" s="52"/>
      <c r="S665" s="52"/>
      <c r="T665" s="52"/>
      <c r="U665" s="52"/>
      <c r="V665" s="52"/>
      <c r="W665" s="52"/>
      <c r="X665" s="52"/>
      <c r="Y665" s="52"/>
      <c r="Z665" s="52"/>
    </row>
    <row r="666" spans="1:26" ht="15.75" customHeight="1">
      <c r="A666" s="52"/>
      <c r="B666" s="62"/>
      <c r="C666" s="52"/>
      <c r="D666" s="52"/>
      <c r="E666" s="52"/>
      <c r="F666" s="71"/>
      <c r="G666" s="62"/>
      <c r="H666" s="52"/>
      <c r="I666" s="52"/>
      <c r="J666" s="52"/>
      <c r="K666" s="52"/>
      <c r="L666" s="52"/>
      <c r="M666" s="52"/>
      <c r="N666" s="52"/>
      <c r="O666" s="52"/>
      <c r="P666" s="52"/>
      <c r="Q666" s="52"/>
      <c r="R666" s="52"/>
      <c r="S666" s="52"/>
      <c r="T666" s="52"/>
      <c r="U666" s="52"/>
      <c r="V666" s="52"/>
      <c r="W666" s="52"/>
      <c r="X666" s="52"/>
      <c r="Y666" s="52"/>
      <c r="Z666" s="52"/>
    </row>
    <row r="667" spans="1:26" ht="15.75" customHeight="1">
      <c r="A667" s="52"/>
      <c r="B667" s="62"/>
      <c r="C667" s="52"/>
      <c r="D667" s="52"/>
      <c r="E667" s="52"/>
      <c r="F667" s="71"/>
      <c r="G667" s="62"/>
      <c r="H667" s="52"/>
      <c r="I667" s="52"/>
      <c r="J667" s="52"/>
      <c r="K667" s="52"/>
      <c r="L667" s="52"/>
      <c r="M667" s="52"/>
      <c r="N667" s="52"/>
      <c r="O667" s="52"/>
      <c r="P667" s="52"/>
      <c r="Q667" s="52"/>
      <c r="R667" s="52"/>
      <c r="S667" s="52"/>
      <c r="T667" s="52"/>
      <c r="U667" s="52"/>
      <c r="V667" s="52"/>
      <c r="W667" s="52"/>
      <c r="X667" s="52"/>
      <c r="Y667" s="52"/>
      <c r="Z667" s="52"/>
    </row>
    <row r="668" spans="1:26" ht="15.75" customHeight="1">
      <c r="A668" s="52"/>
      <c r="B668" s="62"/>
      <c r="C668" s="52"/>
      <c r="D668" s="52"/>
      <c r="E668" s="52"/>
      <c r="F668" s="71"/>
      <c r="G668" s="62"/>
      <c r="H668" s="52"/>
      <c r="I668" s="52"/>
      <c r="J668" s="52"/>
      <c r="K668" s="52"/>
      <c r="L668" s="52"/>
      <c r="M668" s="52"/>
      <c r="N668" s="52"/>
      <c r="O668" s="52"/>
      <c r="P668" s="52"/>
      <c r="Q668" s="52"/>
      <c r="R668" s="52"/>
      <c r="S668" s="52"/>
      <c r="T668" s="52"/>
      <c r="U668" s="52"/>
      <c r="V668" s="52"/>
      <c r="W668" s="52"/>
      <c r="X668" s="52"/>
      <c r="Y668" s="52"/>
      <c r="Z668" s="52"/>
    </row>
    <row r="669" spans="1:26" ht="15.75" customHeight="1">
      <c r="A669" s="52"/>
      <c r="B669" s="62"/>
      <c r="C669" s="52"/>
      <c r="D669" s="52"/>
      <c r="E669" s="52"/>
      <c r="F669" s="71"/>
      <c r="G669" s="62"/>
      <c r="H669" s="52"/>
      <c r="I669" s="52"/>
      <c r="J669" s="52"/>
      <c r="K669" s="52"/>
      <c r="L669" s="52"/>
      <c r="M669" s="52"/>
      <c r="N669" s="52"/>
      <c r="O669" s="52"/>
      <c r="P669" s="52"/>
      <c r="Q669" s="52"/>
      <c r="R669" s="52"/>
      <c r="S669" s="52"/>
      <c r="T669" s="52"/>
      <c r="U669" s="52"/>
      <c r="V669" s="52"/>
      <c r="W669" s="52"/>
      <c r="X669" s="52"/>
      <c r="Y669" s="52"/>
      <c r="Z669" s="52"/>
    </row>
    <row r="670" spans="1:26" ht="15.75" customHeight="1">
      <c r="A670" s="52"/>
      <c r="B670" s="62"/>
      <c r="C670" s="52"/>
      <c r="D670" s="52"/>
      <c r="E670" s="52"/>
      <c r="F670" s="71"/>
      <c r="G670" s="62"/>
      <c r="H670" s="52"/>
      <c r="I670" s="52"/>
      <c r="J670" s="52"/>
      <c r="K670" s="52"/>
      <c r="L670" s="52"/>
      <c r="M670" s="52"/>
      <c r="N670" s="52"/>
      <c r="O670" s="52"/>
      <c r="P670" s="52"/>
      <c r="Q670" s="52"/>
      <c r="R670" s="52"/>
      <c r="S670" s="52"/>
      <c r="T670" s="52"/>
      <c r="U670" s="52"/>
      <c r="V670" s="52"/>
      <c r="W670" s="52"/>
      <c r="X670" s="52"/>
      <c r="Y670" s="52"/>
      <c r="Z670" s="52"/>
    </row>
    <row r="671" spans="1:26" ht="15.75" customHeight="1">
      <c r="A671" s="52"/>
      <c r="B671" s="62"/>
      <c r="C671" s="52"/>
      <c r="D671" s="52"/>
      <c r="E671" s="52"/>
      <c r="F671" s="71"/>
      <c r="G671" s="62"/>
      <c r="H671" s="52"/>
      <c r="I671" s="52"/>
      <c r="J671" s="52"/>
      <c r="K671" s="52"/>
      <c r="L671" s="52"/>
      <c r="M671" s="52"/>
      <c r="N671" s="52"/>
      <c r="O671" s="52"/>
      <c r="P671" s="52"/>
      <c r="Q671" s="52"/>
      <c r="R671" s="52"/>
      <c r="S671" s="52"/>
      <c r="T671" s="52"/>
      <c r="U671" s="52"/>
      <c r="V671" s="52"/>
      <c r="W671" s="52"/>
      <c r="X671" s="52"/>
      <c r="Y671" s="52"/>
      <c r="Z671" s="52"/>
    </row>
    <row r="672" spans="1:26" ht="15.75" customHeight="1">
      <c r="A672" s="52"/>
      <c r="B672" s="62"/>
      <c r="C672" s="52"/>
      <c r="D672" s="52"/>
      <c r="E672" s="52"/>
      <c r="F672" s="71"/>
      <c r="G672" s="62"/>
      <c r="H672" s="52"/>
      <c r="I672" s="52"/>
      <c r="J672" s="52"/>
      <c r="K672" s="52"/>
      <c r="L672" s="52"/>
      <c r="M672" s="52"/>
      <c r="N672" s="52"/>
      <c r="O672" s="52"/>
      <c r="P672" s="52"/>
      <c r="Q672" s="52"/>
      <c r="R672" s="52"/>
      <c r="S672" s="52"/>
      <c r="T672" s="52"/>
      <c r="U672" s="52"/>
      <c r="V672" s="52"/>
      <c r="W672" s="52"/>
      <c r="X672" s="52"/>
      <c r="Y672" s="52"/>
      <c r="Z672" s="52"/>
    </row>
    <row r="673" spans="1:26" ht="15.75" customHeight="1">
      <c r="A673" s="52"/>
      <c r="B673" s="62"/>
      <c r="C673" s="52"/>
      <c r="D673" s="52"/>
      <c r="E673" s="52"/>
      <c r="F673" s="71"/>
      <c r="G673" s="62"/>
      <c r="H673" s="52"/>
      <c r="I673" s="52"/>
      <c r="J673" s="52"/>
      <c r="K673" s="52"/>
      <c r="L673" s="52"/>
      <c r="M673" s="52"/>
      <c r="N673" s="52"/>
      <c r="O673" s="52"/>
      <c r="P673" s="52"/>
      <c r="Q673" s="52"/>
      <c r="R673" s="52"/>
      <c r="S673" s="52"/>
      <c r="T673" s="52"/>
      <c r="U673" s="52"/>
      <c r="V673" s="52"/>
      <c r="W673" s="52"/>
      <c r="X673" s="52"/>
      <c r="Y673" s="52"/>
      <c r="Z673" s="52"/>
    </row>
    <row r="674" spans="1:26" ht="15.75" customHeight="1">
      <c r="A674" s="52"/>
      <c r="B674" s="62"/>
      <c r="C674" s="52"/>
      <c r="D674" s="52"/>
      <c r="E674" s="52"/>
      <c r="F674" s="71"/>
      <c r="G674" s="62"/>
      <c r="H674" s="52"/>
      <c r="I674" s="52"/>
      <c r="J674" s="52"/>
      <c r="K674" s="52"/>
      <c r="L674" s="52"/>
      <c r="M674" s="52"/>
      <c r="N674" s="52"/>
      <c r="O674" s="52"/>
      <c r="P674" s="52"/>
      <c r="Q674" s="52"/>
      <c r="R674" s="52"/>
      <c r="S674" s="52"/>
      <c r="T674" s="52"/>
      <c r="U674" s="52"/>
      <c r="V674" s="52"/>
      <c r="W674" s="52"/>
      <c r="X674" s="52"/>
      <c r="Y674" s="52"/>
      <c r="Z674" s="52"/>
    </row>
    <row r="675" spans="1:26" ht="15.75" customHeight="1">
      <c r="A675" s="52"/>
      <c r="B675" s="62"/>
      <c r="C675" s="52"/>
      <c r="D675" s="52"/>
      <c r="E675" s="52"/>
      <c r="F675" s="71"/>
      <c r="G675" s="62"/>
      <c r="H675" s="52"/>
      <c r="I675" s="52"/>
      <c r="J675" s="52"/>
      <c r="K675" s="52"/>
      <c r="L675" s="52"/>
      <c r="M675" s="52"/>
      <c r="N675" s="52"/>
      <c r="O675" s="52"/>
      <c r="P675" s="52"/>
      <c r="Q675" s="52"/>
      <c r="R675" s="52"/>
      <c r="S675" s="52"/>
      <c r="T675" s="52"/>
      <c r="U675" s="52"/>
      <c r="V675" s="52"/>
      <c r="W675" s="52"/>
      <c r="X675" s="52"/>
      <c r="Y675" s="52"/>
      <c r="Z675" s="52"/>
    </row>
    <row r="676" spans="1:26" ht="15.75" customHeight="1">
      <c r="A676" s="52"/>
      <c r="B676" s="62"/>
      <c r="C676" s="63"/>
      <c r="D676" s="52"/>
      <c r="E676" s="52"/>
      <c r="F676" s="71"/>
      <c r="G676" s="62"/>
      <c r="H676" s="52"/>
      <c r="I676" s="52"/>
      <c r="J676" s="52"/>
      <c r="K676" s="52"/>
      <c r="L676" s="52"/>
      <c r="M676" s="52"/>
      <c r="N676" s="52"/>
      <c r="O676" s="52"/>
      <c r="P676" s="52"/>
      <c r="Q676" s="52"/>
      <c r="R676" s="52"/>
      <c r="S676" s="52"/>
      <c r="T676" s="52"/>
      <c r="U676" s="52"/>
      <c r="V676" s="52"/>
      <c r="W676" s="52"/>
      <c r="X676" s="52"/>
      <c r="Y676" s="52"/>
      <c r="Z676" s="52"/>
    </row>
    <row r="677" spans="1:26" ht="15.75" customHeight="1">
      <c r="A677" s="52"/>
      <c r="B677" s="62"/>
      <c r="C677" s="52"/>
      <c r="D677" s="52"/>
      <c r="E677" s="52"/>
      <c r="F677" s="71"/>
      <c r="G677" s="62"/>
      <c r="H677" s="52"/>
      <c r="I677" s="52"/>
      <c r="J677" s="52"/>
      <c r="K677" s="52"/>
      <c r="L677" s="52"/>
      <c r="M677" s="52"/>
      <c r="N677" s="52"/>
      <c r="O677" s="52"/>
      <c r="P677" s="52"/>
      <c r="Q677" s="52"/>
      <c r="R677" s="52"/>
      <c r="S677" s="52"/>
      <c r="T677" s="52"/>
      <c r="U677" s="52"/>
      <c r="V677" s="52"/>
      <c r="W677" s="52"/>
      <c r="X677" s="52"/>
      <c r="Y677" s="52"/>
      <c r="Z677" s="52"/>
    </row>
    <row r="678" spans="1:26" ht="15.75" customHeight="1">
      <c r="A678" s="52"/>
      <c r="B678" s="62"/>
      <c r="C678" s="52"/>
      <c r="D678" s="52"/>
      <c r="E678" s="52"/>
      <c r="F678" s="71"/>
      <c r="G678" s="62"/>
      <c r="H678" s="52"/>
      <c r="I678" s="52"/>
      <c r="J678" s="52"/>
      <c r="K678" s="52"/>
      <c r="L678" s="52"/>
      <c r="M678" s="52"/>
      <c r="N678" s="52"/>
      <c r="O678" s="52"/>
      <c r="P678" s="52"/>
      <c r="Q678" s="52"/>
      <c r="R678" s="52"/>
      <c r="S678" s="52"/>
      <c r="T678" s="52"/>
      <c r="U678" s="52"/>
      <c r="V678" s="52"/>
      <c r="W678" s="52"/>
      <c r="X678" s="52"/>
      <c r="Y678" s="52"/>
      <c r="Z678" s="52"/>
    </row>
    <row r="679" spans="1:26" ht="13.5" customHeight="1">
      <c r="A679" s="64"/>
      <c r="B679" s="65"/>
      <c r="C679" s="63"/>
      <c r="D679" s="52"/>
      <c r="E679" s="52"/>
      <c r="F679" s="71"/>
      <c r="G679" s="62"/>
      <c r="H679" s="52"/>
      <c r="I679" s="52"/>
      <c r="J679" s="52"/>
      <c r="K679" s="52"/>
      <c r="L679" s="52"/>
      <c r="M679" s="52"/>
      <c r="N679" s="52"/>
      <c r="O679" s="52"/>
      <c r="P679" s="52"/>
      <c r="Q679" s="52"/>
      <c r="R679" s="52"/>
      <c r="S679" s="52"/>
      <c r="T679" s="52"/>
      <c r="U679" s="52"/>
      <c r="V679" s="52"/>
      <c r="W679" s="52"/>
      <c r="X679" s="52"/>
      <c r="Y679" s="52"/>
      <c r="Z679" s="52"/>
    </row>
    <row r="680" spans="1:26" ht="15.75" customHeight="1">
      <c r="A680" s="52"/>
      <c r="B680" s="62"/>
      <c r="C680" s="52"/>
      <c r="D680" s="52"/>
      <c r="E680" s="52"/>
      <c r="F680" s="71"/>
      <c r="G680" s="62"/>
      <c r="H680" s="52"/>
      <c r="I680" s="52"/>
      <c r="J680" s="52"/>
      <c r="K680" s="52"/>
      <c r="L680" s="52"/>
      <c r="M680" s="52"/>
      <c r="N680" s="52"/>
      <c r="O680" s="52"/>
      <c r="P680" s="52"/>
      <c r="Q680" s="52"/>
      <c r="R680" s="52"/>
      <c r="S680" s="52"/>
      <c r="T680" s="52"/>
      <c r="U680" s="52"/>
      <c r="V680" s="52"/>
      <c r="W680" s="52"/>
      <c r="X680" s="52"/>
      <c r="Y680" s="52"/>
      <c r="Z680" s="52"/>
    </row>
    <row r="681" spans="1:26" ht="15.75" customHeight="1">
      <c r="A681" s="52"/>
      <c r="B681" s="62"/>
      <c r="C681" s="52"/>
      <c r="D681" s="52"/>
      <c r="E681" s="52"/>
      <c r="F681" s="71"/>
      <c r="G681" s="62"/>
      <c r="H681" s="52"/>
      <c r="I681" s="52"/>
      <c r="J681" s="52"/>
      <c r="K681" s="52"/>
      <c r="L681" s="52"/>
      <c r="M681" s="52"/>
      <c r="N681" s="52"/>
      <c r="O681" s="52"/>
      <c r="P681" s="52"/>
      <c r="Q681" s="52"/>
      <c r="R681" s="52"/>
      <c r="S681" s="52"/>
      <c r="T681" s="52"/>
      <c r="U681" s="52"/>
      <c r="V681" s="52"/>
      <c r="W681" s="52"/>
      <c r="X681" s="52"/>
      <c r="Y681" s="52"/>
      <c r="Z681" s="52"/>
    </row>
    <row r="682" spans="1:26" ht="15.75" customHeight="1">
      <c r="A682" s="52"/>
      <c r="B682" s="62"/>
      <c r="C682" s="52"/>
      <c r="D682" s="52"/>
      <c r="E682" s="52"/>
      <c r="F682" s="71"/>
      <c r="G682" s="62"/>
      <c r="H682" s="52"/>
      <c r="I682" s="52"/>
      <c r="J682" s="52"/>
      <c r="K682" s="52"/>
      <c r="L682" s="52"/>
      <c r="M682" s="52"/>
      <c r="N682" s="52"/>
      <c r="O682" s="52"/>
      <c r="P682" s="52"/>
      <c r="Q682" s="52"/>
      <c r="R682" s="52"/>
      <c r="S682" s="52"/>
      <c r="T682" s="52"/>
      <c r="U682" s="52"/>
      <c r="V682" s="52"/>
      <c r="W682" s="52"/>
      <c r="X682" s="52"/>
      <c r="Y682" s="52"/>
      <c r="Z682" s="52"/>
    </row>
    <row r="683" spans="1:26" ht="15.75" customHeight="1">
      <c r="A683" s="52"/>
      <c r="B683" s="62"/>
      <c r="C683" s="52"/>
      <c r="D683" s="52"/>
      <c r="E683" s="52"/>
      <c r="F683" s="71"/>
      <c r="G683" s="62"/>
      <c r="H683" s="52"/>
      <c r="I683" s="52"/>
      <c r="J683" s="52"/>
      <c r="K683" s="52"/>
      <c r="L683" s="52"/>
      <c r="M683" s="52"/>
      <c r="N683" s="52"/>
      <c r="O683" s="52"/>
      <c r="P683" s="52"/>
      <c r="Q683" s="52"/>
      <c r="R683" s="52"/>
      <c r="S683" s="52"/>
      <c r="T683" s="52"/>
      <c r="U683" s="52"/>
      <c r="V683" s="52"/>
      <c r="W683" s="52"/>
      <c r="X683" s="52"/>
      <c r="Y683" s="52"/>
      <c r="Z683" s="52"/>
    </row>
    <row r="684" spans="1:26" ht="15.75" customHeight="1">
      <c r="A684" s="52"/>
      <c r="B684" s="62"/>
      <c r="C684" s="52"/>
      <c r="D684" s="52"/>
      <c r="E684" s="52"/>
      <c r="F684" s="71"/>
      <c r="G684" s="62"/>
      <c r="H684" s="52"/>
      <c r="I684" s="52"/>
      <c r="J684" s="52"/>
      <c r="K684" s="52"/>
      <c r="L684" s="52"/>
      <c r="M684" s="52"/>
      <c r="N684" s="52"/>
      <c r="O684" s="52"/>
      <c r="P684" s="52"/>
      <c r="Q684" s="52"/>
      <c r="R684" s="52"/>
      <c r="S684" s="52"/>
      <c r="T684" s="52"/>
      <c r="U684" s="52"/>
      <c r="V684" s="52"/>
      <c r="W684" s="52"/>
      <c r="X684" s="52"/>
      <c r="Y684" s="52"/>
      <c r="Z684" s="52"/>
    </row>
    <row r="685" spans="1:26" ht="15.75" customHeight="1">
      <c r="A685" s="52"/>
      <c r="B685" s="52"/>
      <c r="C685" s="52"/>
      <c r="D685" s="52"/>
      <c r="E685" s="52"/>
      <c r="F685" s="71"/>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c r="A686" s="52"/>
      <c r="B686" s="52"/>
      <c r="C686" s="52"/>
      <c r="D686" s="52"/>
      <c r="E686" s="52"/>
      <c r="F686" s="71"/>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c r="A687" s="52"/>
      <c r="B687" s="52"/>
      <c r="C687" s="52"/>
      <c r="D687" s="52"/>
      <c r="E687" s="52"/>
      <c r="F687" s="71"/>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c r="A688" s="52"/>
      <c r="B688" s="52"/>
      <c r="C688" s="52"/>
      <c r="D688" s="52"/>
      <c r="E688" s="52"/>
      <c r="F688" s="71"/>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c r="A689" s="52"/>
      <c r="B689" s="52"/>
      <c r="C689" s="52"/>
      <c r="D689" s="52"/>
      <c r="E689" s="52"/>
      <c r="F689" s="71"/>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c r="A690" s="52"/>
      <c r="B690" s="52"/>
      <c r="C690" s="52"/>
      <c r="D690" s="52"/>
      <c r="E690" s="52"/>
      <c r="F690" s="71"/>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c r="A691" s="52"/>
      <c r="B691" s="52"/>
      <c r="C691" s="52"/>
      <c r="D691" s="52"/>
      <c r="E691" s="52"/>
      <c r="F691" s="71"/>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c r="A692" s="52"/>
      <c r="B692" s="52"/>
      <c r="C692" s="52"/>
      <c r="D692" s="52"/>
      <c r="E692" s="52"/>
      <c r="F692" s="71"/>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c r="A693" s="52"/>
      <c r="B693" s="52"/>
      <c r="C693" s="52"/>
      <c r="D693" s="52"/>
      <c r="E693" s="52"/>
      <c r="F693" s="71"/>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c r="A694" s="52"/>
      <c r="B694" s="52"/>
      <c r="C694" s="52"/>
      <c r="D694" s="52"/>
      <c r="E694" s="52"/>
      <c r="F694" s="71"/>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c r="A695" s="52"/>
      <c r="B695" s="52"/>
      <c r="C695" s="52"/>
      <c r="D695" s="52"/>
      <c r="E695" s="52"/>
      <c r="F695" s="71"/>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c r="A696" s="52"/>
      <c r="B696" s="52"/>
      <c r="C696" s="52"/>
      <c r="D696" s="52"/>
      <c r="E696" s="52"/>
      <c r="F696" s="71"/>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c r="A697" s="52"/>
      <c r="B697" s="52"/>
      <c r="C697" s="52"/>
      <c r="D697" s="52"/>
      <c r="E697" s="52"/>
      <c r="F697" s="71"/>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c r="A698" s="52"/>
      <c r="B698" s="52"/>
      <c r="C698" s="52"/>
      <c r="D698" s="52"/>
      <c r="E698" s="52"/>
      <c r="F698" s="71"/>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c r="A699" s="52"/>
      <c r="B699" s="52"/>
      <c r="C699" s="52"/>
      <c r="D699" s="52"/>
      <c r="E699" s="52"/>
      <c r="F699" s="71"/>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c r="A700" s="52"/>
      <c r="B700" s="52"/>
      <c r="C700" s="52"/>
      <c r="D700" s="52"/>
      <c r="E700" s="52"/>
      <c r="F700" s="71"/>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c r="A701" s="52"/>
      <c r="B701" s="52"/>
      <c r="C701" s="52"/>
      <c r="D701" s="52"/>
      <c r="E701" s="52"/>
      <c r="F701" s="71"/>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c r="A702" s="52"/>
      <c r="B702" s="52"/>
      <c r="C702" s="52"/>
      <c r="D702" s="52"/>
      <c r="E702" s="52"/>
      <c r="F702" s="71"/>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c r="A703" s="52"/>
      <c r="B703" s="52"/>
      <c r="C703" s="52"/>
      <c r="D703" s="52"/>
      <c r="E703" s="52"/>
      <c r="F703" s="71"/>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c r="A704" s="52"/>
      <c r="B704" s="52"/>
      <c r="C704" s="52"/>
      <c r="D704" s="52"/>
      <c r="E704" s="52"/>
      <c r="F704" s="71"/>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c r="A705" s="52"/>
      <c r="B705" s="52"/>
      <c r="C705" s="52"/>
      <c r="D705" s="52"/>
      <c r="E705" s="52"/>
      <c r="F705" s="71"/>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c r="A706" s="52"/>
      <c r="B706" s="52"/>
      <c r="C706" s="52"/>
      <c r="D706" s="52"/>
      <c r="E706" s="52"/>
      <c r="F706" s="71"/>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c r="A707" s="52"/>
      <c r="B707" s="52"/>
      <c r="C707" s="52"/>
      <c r="D707" s="52"/>
      <c r="E707" s="52"/>
      <c r="F707" s="71"/>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c r="A708" s="52"/>
      <c r="B708" s="52"/>
      <c r="C708" s="52"/>
      <c r="D708" s="52"/>
      <c r="E708" s="52"/>
      <c r="F708" s="71"/>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c r="A709" s="52"/>
      <c r="B709" s="52"/>
      <c r="C709" s="52"/>
      <c r="D709" s="52"/>
      <c r="E709" s="52"/>
      <c r="F709" s="71"/>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c r="A710" s="52"/>
      <c r="B710" s="52"/>
      <c r="C710" s="52"/>
      <c r="D710" s="52"/>
      <c r="E710" s="52"/>
      <c r="F710" s="71"/>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c r="A711" s="52"/>
      <c r="B711" s="52"/>
      <c r="C711" s="52"/>
      <c r="D711" s="52"/>
      <c r="E711" s="52"/>
      <c r="F711" s="71"/>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c r="A712" s="52"/>
      <c r="B712" s="52"/>
      <c r="C712" s="52"/>
      <c r="D712" s="52"/>
      <c r="E712" s="52"/>
      <c r="F712" s="71"/>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c r="A713" s="52"/>
      <c r="B713" s="52"/>
      <c r="C713" s="52"/>
      <c r="D713" s="52"/>
      <c r="E713" s="52"/>
      <c r="F713" s="71"/>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c r="A714" s="52"/>
      <c r="B714" s="52"/>
      <c r="C714" s="52"/>
      <c r="D714" s="52"/>
      <c r="E714" s="52"/>
      <c r="F714" s="71"/>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c r="A715" s="52"/>
      <c r="B715" s="52"/>
      <c r="C715" s="52"/>
      <c r="D715" s="52"/>
      <c r="E715" s="52"/>
      <c r="F715" s="71"/>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c r="A716" s="52"/>
      <c r="B716" s="52"/>
      <c r="C716" s="52"/>
      <c r="D716" s="52"/>
      <c r="E716" s="52"/>
      <c r="F716" s="71"/>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c r="A717" s="52"/>
      <c r="B717" s="52"/>
      <c r="C717" s="52"/>
      <c r="D717" s="52"/>
      <c r="E717" s="52"/>
      <c r="F717" s="71"/>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c r="A718" s="52"/>
      <c r="B718" s="52"/>
      <c r="C718" s="52"/>
      <c r="D718" s="52"/>
      <c r="E718" s="52"/>
      <c r="F718" s="71"/>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c r="A719" s="52"/>
      <c r="B719" s="52"/>
      <c r="C719" s="52"/>
      <c r="D719" s="52"/>
      <c r="E719" s="52"/>
      <c r="F719" s="71"/>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c r="A720" s="52"/>
      <c r="B720" s="52"/>
      <c r="C720" s="52"/>
      <c r="D720" s="52"/>
      <c r="E720" s="52"/>
      <c r="F720" s="71"/>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c r="A721" s="52"/>
      <c r="B721" s="52"/>
      <c r="C721" s="52"/>
      <c r="D721" s="52"/>
      <c r="E721" s="52"/>
      <c r="F721" s="71"/>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c r="A722" s="52"/>
      <c r="B722" s="52"/>
      <c r="C722" s="52"/>
      <c r="D722" s="52"/>
      <c r="E722" s="52"/>
      <c r="F722" s="71"/>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c r="A723" s="52"/>
      <c r="B723" s="52"/>
      <c r="C723" s="52"/>
      <c r="D723" s="52"/>
      <c r="E723" s="52"/>
      <c r="F723" s="71"/>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c r="A724" s="52"/>
      <c r="B724" s="52"/>
      <c r="C724" s="52"/>
      <c r="D724" s="52"/>
      <c r="E724" s="52"/>
      <c r="F724" s="71"/>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c r="A725" s="52"/>
      <c r="B725" s="52"/>
      <c r="C725" s="52"/>
      <c r="D725" s="52"/>
      <c r="E725" s="52"/>
      <c r="F725" s="71"/>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c r="A726" s="52"/>
      <c r="B726" s="52"/>
      <c r="C726" s="52"/>
      <c r="D726" s="52"/>
      <c r="E726" s="52"/>
      <c r="F726" s="71"/>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c r="A727" s="52"/>
      <c r="B727" s="52"/>
      <c r="C727" s="52"/>
      <c r="D727" s="52"/>
      <c r="E727" s="52"/>
      <c r="F727" s="71"/>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c r="A728" s="52"/>
      <c r="B728" s="52"/>
      <c r="C728" s="52"/>
      <c r="D728" s="52"/>
      <c r="E728" s="52"/>
      <c r="F728" s="71"/>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c r="A729" s="52"/>
      <c r="B729" s="52"/>
      <c r="C729" s="52"/>
      <c r="D729" s="52"/>
      <c r="E729" s="52"/>
      <c r="F729" s="71"/>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c r="A730" s="52"/>
      <c r="B730" s="52"/>
      <c r="C730" s="52"/>
      <c r="D730" s="52"/>
      <c r="E730" s="52"/>
      <c r="F730" s="71"/>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c r="A731" s="52"/>
      <c r="B731" s="52"/>
      <c r="C731" s="52"/>
      <c r="D731" s="52"/>
      <c r="E731" s="52"/>
      <c r="F731" s="71"/>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c r="A732" s="52"/>
      <c r="B732" s="52"/>
      <c r="C732" s="52"/>
      <c r="D732" s="52"/>
      <c r="E732" s="52"/>
      <c r="F732" s="71"/>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c r="A733" s="52"/>
      <c r="B733" s="52"/>
      <c r="C733" s="52"/>
      <c r="D733" s="52"/>
      <c r="E733" s="52"/>
      <c r="F733" s="71"/>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c r="A734" s="52"/>
      <c r="B734" s="52"/>
      <c r="C734" s="52"/>
      <c r="D734" s="52"/>
      <c r="E734" s="52"/>
      <c r="F734" s="71"/>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c r="A735" s="52"/>
      <c r="B735" s="52"/>
      <c r="C735" s="52"/>
      <c r="D735" s="52"/>
      <c r="E735" s="52"/>
      <c r="F735" s="71"/>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c r="A736" s="52"/>
      <c r="B736" s="52"/>
      <c r="C736" s="52"/>
      <c r="D736" s="52"/>
      <c r="E736" s="52"/>
      <c r="F736" s="71"/>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c r="A737" s="52"/>
      <c r="B737" s="52"/>
      <c r="C737" s="52"/>
      <c r="D737" s="52"/>
      <c r="E737" s="52"/>
      <c r="F737" s="71"/>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c r="A738" s="52"/>
      <c r="B738" s="52"/>
      <c r="C738" s="52"/>
      <c r="D738" s="52"/>
      <c r="E738" s="52"/>
      <c r="F738" s="71"/>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c r="A739" s="52"/>
      <c r="B739" s="52"/>
      <c r="C739" s="52"/>
      <c r="D739" s="52"/>
      <c r="E739" s="52"/>
      <c r="F739" s="71"/>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c r="A740" s="52"/>
      <c r="B740" s="52"/>
      <c r="C740" s="52"/>
      <c r="D740" s="52"/>
      <c r="E740" s="52"/>
      <c r="F740" s="71"/>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c r="A741" s="52"/>
      <c r="B741" s="52"/>
      <c r="C741" s="52"/>
      <c r="D741" s="52"/>
      <c r="E741" s="52"/>
      <c r="F741" s="71"/>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c r="A742" s="52"/>
      <c r="B742" s="52"/>
      <c r="C742" s="52"/>
      <c r="D742" s="52"/>
      <c r="E742" s="52"/>
      <c r="F742" s="71"/>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c r="A743" s="52"/>
      <c r="B743" s="52"/>
      <c r="C743" s="52"/>
      <c r="D743" s="52"/>
      <c r="E743" s="52"/>
      <c r="F743" s="71"/>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c r="A744" s="52"/>
      <c r="B744" s="52"/>
      <c r="C744" s="52"/>
      <c r="D744" s="52"/>
      <c r="E744" s="52"/>
      <c r="F744" s="71"/>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c r="A745" s="52"/>
      <c r="B745" s="52"/>
      <c r="C745" s="52"/>
      <c r="D745" s="52"/>
      <c r="E745" s="52"/>
      <c r="F745" s="71"/>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c r="A746" s="52"/>
      <c r="B746" s="52"/>
      <c r="C746" s="52"/>
      <c r="D746" s="52"/>
      <c r="E746" s="52"/>
      <c r="F746" s="71"/>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c r="A747" s="52"/>
      <c r="B747" s="52"/>
      <c r="C747" s="52"/>
      <c r="D747" s="52"/>
      <c r="E747" s="52"/>
      <c r="F747" s="71"/>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c r="A748" s="52"/>
      <c r="B748" s="52"/>
      <c r="C748" s="52"/>
      <c r="D748" s="52"/>
      <c r="E748" s="52"/>
      <c r="F748" s="71"/>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c r="A749" s="52"/>
      <c r="B749" s="52"/>
      <c r="C749" s="52"/>
      <c r="D749" s="52"/>
      <c r="E749" s="52"/>
      <c r="F749" s="71"/>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c r="A750" s="52"/>
      <c r="B750" s="52"/>
      <c r="C750" s="52"/>
      <c r="D750" s="52"/>
      <c r="E750" s="52"/>
      <c r="F750" s="71"/>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c r="A751" s="52"/>
      <c r="B751" s="52"/>
      <c r="C751" s="52"/>
      <c r="D751" s="52"/>
      <c r="E751" s="52"/>
      <c r="F751" s="71"/>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c r="A752" s="52"/>
      <c r="B752" s="52"/>
      <c r="C752" s="52"/>
      <c r="D752" s="52"/>
      <c r="E752" s="52"/>
      <c r="F752" s="71"/>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c r="A753" s="52"/>
      <c r="B753" s="52"/>
      <c r="C753" s="52"/>
      <c r="D753" s="52"/>
      <c r="E753" s="52"/>
      <c r="F753" s="71"/>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c r="A754" s="52"/>
      <c r="B754" s="52"/>
      <c r="C754" s="52"/>
      <c r="D754" s="52"/>
      <c r="E754" s="52"/>
      <c r="F754" s="71"/>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c r="A755" s="52"/>
      <c r="B755" s="52"/>
      <c r="C755" s="52"/>
      <c r="D755" s="52"/>
      <c r="E755" s="52"/>
      <c r="F755" s="71"/>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c r="A756" s="52"/>
      <c r="B756" s="52"/>
      <c r="C756" s="52"/>
      <c r="D756" s="52"/>
      <c r="E756" s="52"/>
      <c r="F756" s="71"/>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c r="A757" s="52"/>
      <c r="B757" s="52"/>
      <c r="C757" s="52"/>
      <c r="D757" s="52"/>
      <c r="E757" s="52"/>
      <c r="F757" s="71"/>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c r="A758" s="52"/>
      <c r="B758" s="52"/>
      <c r="C758" s="52"/>
      <c r="D758" s="52"/>
      <c r="E758" s="52"/>
      <c r="F758" s="71"/>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c r="A759" s="52"/>
      <c r="B759" s="52"/>
      <c r="C759" s="52"/>
      <c r="D759" s="52"/>
      <c r="E759" s="52"/>
      <c r="F759" s="71"/>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c r="A760" s="52"/>
      <c r="B760" s="52"/>
      <c r="C760" s="52"/>
      <c r="D760" s="52"/>
      <c r="E760" s="52"/>
      <c r="F760" s="71"/>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c r="A761" s="52"/>
      <c r="B761" s="52"/>
      <c r="C761" s="52"/>
      <c r="D761" s="52"/>
      <c r="E761" s="52"/>
      <c r="F761" s="71"/>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c r="A762" s="52"/>
      <c r="B762" s="52"/>
      <c r="C762" s="52"/>
      <c r="D762" s="52"/>
      <c r="E762" s="52"/>
      <c r="F762" s="71"/>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c r="A763" s="52"/>
      <c r="B763" s="52"/>
      <c r="C763" s="52"/>
      <c r="D763" s="52"/>
      <c r="E763" s="52"/>
      <c r="F763" s="71"/>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c r="A764" s="52"/>
      <c r="B764" s="52"/>
      <c r="C764" s="52"/>
      <c r="D764" s="52"/>
      <c r="E764" s="52"/>
      <c r="F764" s="71"/>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c r="A765" s="52"/>
      <c r="B765" s="52"/>
      <c r="C765" s="52"/>
      <c r="D765" s="52"/>
      <c r="E765" s="52"/>
      <c r="F765" s="71"/>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c r="A766" s="52"/>
      <c r="B766" s="52"/>
      <c r="C766" s="52"/>
      <c r="D766" s="52"/>
      <c r="E766" s="52"/>
      <c r="F766" s="71"/>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c r="A767" s="52"/>
      <c r="B767" s="52"/>
      <c r="C767" s="52"/>
      <c r="D767" s="52"/>
      <c r="E767" s="52"/>
      <c r="F767" s="71"/>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c r="A768" s="52"/>
      <c r="B768" s="52"/>
      <c r="C768" s="52"/>
      <c r="D768" s="52"/>
      <c r="E768" s="52"/>
      <c r="F768" s="71"/>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c r="A769" s="52"/>
      <c r="B769" s="52"/>
      <c r="C769" s="52"/>
      <c r="D769" s="52"/>
      <c r="E769" s="52"/>
      <c r="F769" s="71"/>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c r="A770" s="52"/>
      <c r="B770" s="52"/>
      <c r="C770" s="52"/>
      <c r="D770" s="52"/>
      <c r="E770" s="52"/>
      <c r="F770" s="71"/>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c r="A771" s="52"/>
      <c r="B771" s="52"/>
      <c r="C771" s="52"/>
      <c r="D771" s="52"/>
      <c r="E771" s="52"/>
      <c r="F771" s="71"/>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c r="A772" s="52"/>
      <c r="B772" s="52"/>
      <c r="C772" s="52"/>
      <c r="D772" s="52"/>
      <c r="E772" s="52"/>
      <c r="F772" s="71"/>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c r="A773" s="52"/>
      <c r="B773" s="52"/>
      <c r="C773" s="52"/>
      <c r="D773" s="52"/>
      <c r="E773" s="52"/>
      <c r="F773" s="71"/>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c r="A774" s="52"/>
      <c r="B774" s="52"/>
      <c r="C774" s="52"/>
      <c r="D774" s="52"/>
      <c r="E774" s="52"/>
      <c r="F774" s="71"/>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c r="A775" s="52"/>
      <c r="B775" s="52"/>
      <c r="C775" s="52"/>
      <c r="D775" s="52"/>
      <c r="E775" s="52"/>
      <c r="F775" s="71"/>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c r="A776" s="52"/>
      <c r="B776" s="52"/>
      <c r="C776" s="52"/>
      <c r="D776" s="52"/>
      <c r="E776" s="52"/>
      <c r="F776" s="71"/>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c r="A777" s="52"/>
      <c r="B777" s="52"/>
      <c r="C777" s="52"/>
      <c r="D777" s="52"/>
      <c r="E777" s="52"/>
      <c r="F777" s="71"/>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c r="A778" s="52"/>
      <c r="B778" s="52"/>
      <c r="C778" s="52"/>
      <c r="D778" s="52"/>
      <c r="E778" s="52"/>
      <c r="F778" s="71"/>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c r="A779" s="52"/>
      <c r="B779" s="52"/>
      <c r="C779" s="52"/>
      <c r="D779" s="52"/>
      <c r="E779" s="52"/>
      <c r="F779" s="71"/>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c r="A780" s="52"/>
      <c r="B780" s="52"/>
      <c r="C780" s="52"/>
      <c r="D780" s="52"/>
      <c r="E780" s="52"/>
      <c r="F780" s="71"/>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c r="A781" s="52"/>
      <c r="B781" s="52"/>
      <c r="C781" s="52"/>
      <c r="D781" s="52"/>
      <c r="E781" s="52"/>
      <c r="F781" s="71"/>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c r="A782" s="52"/>
      <c r="B782" s="52"/>
      <c r="C782" s="52"/>
      <c r="D782" s="52"/>
      <c r="E782" s="52"/>
      <c r="F782" s="71"/>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c r="A783" s="52"/>
      <c r="B783" s="52"/>
      <c r="C783" s="52"/>
      <c r="D783" s="52"/>
      <c r="E783" s="52"/>
      <c r="F783" s="71"/>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c r="A784" s="52"/>
      <c r="B784" s="52"/>
      <c r="C784" s="52"/>
      <c r="D784" s="52"/>
      <c r="E784" s="52"/>
      <c r="F784" s="71"/>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c r="A785" s="52"/>
      <c r="B785" s="52"/>
      <c r="C785" s="52"/>
      <c r="D785" s="52"/>
      <c r="E785" s="52"/>
      <c r="F785" s="71"/>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c r="A786" s="52"/>
      <c r="B786" s="52"/>
      <c r="C786" s="52"/>
      <c r="D786" s="52"/>
      <c r="E786" s="52"/>
      <c r="F786" s="71"/>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c r="A787" s="52"/>
      <c r="B787" s="52"/>
      <c r="C787" s="52"/>
      <c r="D787" s="52"/>
      <c r="E787" s="52"/>
      <c r="F787" s="71"/>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c r="A788" s="52"/>
      <c r="B788" s="52"/>
      <c r="C788" s="52"/>
      <c r="D788" s="52"/>
      <c r="E788" s="52"/>
      <c r="F788" s="71"/>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c r="A789" s="52"/>
      <c r="B789" s="52"/>
      <c r="C789" s="52"/>
      <c r="D789" s="52"/>
      <c r="E789" s="52"/>
      <c r="F789" s="71"/>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c r="A790" s="52"/>
      <c r="B790" s="52"/>
      <c r="C790" s="52"/>
      <c r="D790" s="52"/>
      <c r="E790" s="52"/>
      <c r="F790" s="71"/>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c r="A791" s="52"/>
      <c r="B791" s="52"/>
      <c r="C791" s="52"/>
      <c r="D791" s="52"/>
      <c r="E791" s="52"/>
      <c r="F791" s="71"/>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c r="A792" s="52"/>
      <c r="B792" s="52"/>
      <c r="C792" s="52"/>
      <c r="D792" s="52"/>
      <c r="E792" s="52"/>
      <c r="F792" s="71"/>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c r="A793" s="52"/>
      <c r="B793" s="52"/>
      <c r="C793" s="52"/>
      <c r="D793" s="52"/>
      <c r="E793" s="52"/>
      <c r="F793" s="71"/>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c r="A794" s="52"/>
      <c r="B794" s="52"/>
      <c r="C794" s="52"/>
      <c r="D794" s="52"/>
      <c r="E794" s="52"/>
      <c r="F794" s="71"/>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c r="A795" s="52"/>
      <c r="B795" s="52"/>
      <c r="C795" s="52"/>
      <c r="D795" s="52"/>
      <c r="E795" s="52"/>
      <c r="F795" s="71"/>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c r="A796" s="52"/>
      <c r="B796" s="52"/>
      <c r="C796" s="52"/>
      <c r="D796" s="52"/>
      <c r="E796" s="52"/>
      <c r="F796" s="71"/>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c r="A797" s="52"/>
      <c r="B797" s="52"/>
      <c r="C797" s="52"/>
      <c r="D797" s="52"/>
      <c r="E797" s="52"/>
      <c r="F797" s="71"/>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c r="A798" s="52"/>
      <c r="B798" s="52"/>
      <c r="C798" s="52"/>
      <c r="D798" s="52"/>
      <c r="E798" s="52"/>
      <c r="F798" s="71"/>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c r="A799" s="52"/>
      <c r="B799" s="52"/>
      <c r="C799" s="52"/>
      <c r="D799" s="52"/>
      <c r="E799" s="52"/>
      <c r="F799" s="71"/>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c r="A800" s="52"/>
      <c r="B800" s="52"/>
      <c r="C800" s="52"/>
      <c r="D800" s="52"/>
      <c r="E800" s="52"/>
      <c r="F800" s="71"/>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c r="A801" s="52"/>
      <c r="B801" s="52"/>
      <c r="C801" s="52"/>
      <c r="D801" s="52"/>
      <c r="E801" s="52"/>
      <c r="F801" s="71"/>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c r="A802" s="52"/>
      <c r="B802" s="52"/>
      <c r="C802" s="52"/>
      <c r="D802" s="52"/>
      <c r="E802" s="52"/>
      <c r="F802" s="71"/>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c r="A803" s="52"/>
      <c r="B803" s="52"/>
      <c r="C803" s="52"/>
      <c r="D803" s="52"/>
      <c r="E803" s="52"/>
      <c r="F803" s="71"/>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c r="A804" s="52"/>
      <c r="B804" s="52"/>
      <c r="C804" s="52"/>
      <c r="D804" s="52"/>
      <c r="E804" s="52"/>
      <c r="F804" s="71"/>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c r="A805" s="52"/>
      <c r="B805" s="52"/>
      <c r="C805" s="52"/>
      <c r="D805" s="52"/>
      <c r="E805" s="52"/>
      <c r="F805" s="71"/>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c r="A806" s="52"/>
      <c r="B806" s="52"/>
      <c r="C806" s="52"/>
      <c r="D806" s="52"/>
      <c r="E806" s="52"/>
      <c r="F806" s="71"/>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c r="A807" s="52"/>
      <c r="B807" s="52"/>
      <c r="C807" s="52"/>
      <c r="D807" s="52"/>
      <c r="E807" s="52"/>
      <c r="F807" s="71"/>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c r="A808" s="52"/>
      <c r="B808" s="52"/>
      <c r="C808" s="52"/>
      <c r="D808" s="52"/>
      <c r="E808" s="52"/>
      <c r="F808" s="71"/>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c r="A809" s="52"/>
      <c r="B809" s="52"/>
      <c r="C809" s="52"/>
      <c r="D809" s="52"/>
      <c r="E809" s="52"/>
      <c r="F809" s="71"/>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c r="A810" s="52"/>
      <c r="B810" s="52"/>
      <c r="C810" s="52"/>
      <c r="D810" s="52"/>
      <c r="E810" s="52"/>
      <c r="F810" s="71"/>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c r="A811" s="52"/>
      <c r="B811" s="52"/>
      <c r="C811" s="52"/>
      <c r="D811" s="52"/>
      <c r="E811" s="52"/>
      <c r="F811" s="71"/>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c r="A812" s="52"/>
      <c r="B812" s="52"/>
      <c r="C812" s="52"/>
      <c r="D812" s="52"/>
      <c r="E812" s="52"/>
      <c r="F812" s="71"/>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c r="A813" s="52"/>
      <c r="B813" s="52"/>
      <c r="C813" s="52"/>
      <c r="D813" s="52"/>
      <c r="E813" s="52"/>
      <c r="F813" s="71"/>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c r="A814" s="52"/>
      <c r="B814" s="52"/>
      <c r="C814" s="52"/>
      <c r="D814" s="52"/>
      <c r="E814" s="52"/>
      <c r="F814" s="71"/>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c r="A815" s="52"/>
      <c r="B815" s="52"/>
      <c r="C815" s="52"/>
      <c r="D815" s="52"/>
      <c r="E815" s="52"/>
      <c r="F815" s="71"/>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c r="A816" s="52"/>
      <c r="B816" s="52"/>
      <c r="C816" s="52"/>
      <c r="D816" s="52"/>
      <c r="E816" s="52"/>
      <c r="F816" s="71"/>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c r="A817" s="52"/>
      <c r="B817" s="52"/>
      <c r="C817" s="52"/>
      <c r="D817" s="52"/>
      <c r="E817" s="52"/>
      <c r="F817" s="71"/>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c r="A818" s="52"/>
      <c r="B818" s="52"/>
      <c r="C818" s="52"/>
      <c r="D818" s="52"/>
      <c r="E818" s="52"/>
      <c r="F818" s="71"/>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c r="A819" s="52"/>
      <c r="B819" s="52"/>
      <c r="C819" s="52"/>
      <c r="D819" s="52"/>
      <c r="E819" s="52"/>
      <c r="F819" s="71"/>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c r="A820" s="52"/>
      <c r="B820" s="52"/>
      <c r="C820" s="52"/>
      <c r="D820" s="52"/>
      <c r="E820" s="52"/>
      <c r="F820" s="71"/>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c r="A821" s="52"/>
      <c r="B821" s="52"/>
      <c r="C821" s="52"/>
      <c r="D821" s="52"/>
      <c r="E821" s="52"/>
      <c r="F821" s="71"/>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c r="A822" s="52"/>
      <c r="B822" s="52"/>
      <c r="C822" s="52"/>
      <c r="D822" s="52"/>
      <c r="E822" s="52"/>
      <c r="F822" s="71"/>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c r="A823" s="52"/>
      <c r="B823" s="52"/>
      <c r="C823" s="52"/>
      <c r="D823" s="52"/>
      <c r="E823" s="52"/>
      <c r="F823" s="71"/>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c r="A824" s="52"/>
      <c r="B824" s="52"/>
      <c r="C824" s="52"/>
      <c r="D824" s="52"/>
      <c r="E824" s="52"/>
      <c r="F824" s="71"/>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c r="A825" s="52"/>
      <c r="B825" s="52"/>
      <c r="C825" s="52"/>
      <c r="D825" s="52"/>
      <c r="E825" s="52"/>
      <c r="F825" s="71"/>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c r="A826" s="52"/>
      <c r="B826" s="52"/>
      <c r="C826" s="52"/>
      <c r="D826" s="52"/>
      <c r="E826" s="52"/>
      <c r="F826" s="71"/>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c r="A827" s="52"/>
      <c r="B827" s="52"/>
      <c r="C827" s="52"/>
      <c r="D827" s="52"/>
      <c r="E827" s="52"/>
      <c r="F827" s="71"/>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c r="A828" s="52"/>
      <c r="B828" s="52"/>
      <c r="C828" s="52"/>
      <c r="D828" s="52"/>
      <c r="E828" s="52"/>
      <c r="F828" s="71"/>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c r="A829" s="52"/>
      <c r="B829" s="52"/>
      <c r="C829" s="52"/>
      <c r="D829" s="52"/>
      <c r="E829" s="52"/>
      <c r="F829" s="71"/>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c r="A830" s="52"/>
      <c r="B830" s="52"/>
      <c r="C830" s="52"/>
      <c r="D830" s="52"/>
      <c r="E830" s="52"/>
      <c r="F830" s="71"/>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c r="A831" s="52"/>
      <c r="B831" s="52"/>
      <c r="C831" s="52"/>
      <c r="D831" s="52"/>
      <c r="E831" s="52"/>
      <c r="F831" s="71"/>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c r="A832" s="52"/>
      <c r="B832" s="52"/>
      <c r="C832" s="52"/>
      <c r="D832" s="52"/>
      <c r="E832" s="52"/>
      <c r="F832" s="71"/>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c r="A833" s="52"/>
      <c r="B833" s="52"/>
      <c r="C833" s="52"/>
      <c r="D833" s="52"/>
      <c r="E833" s="52"/>
      <c r="F833" s="71"/>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c r="A834" s="52"/>
      <c r="B834" s="52"/>
      <c r="C834" s="52"/>
      <c r="D834" s="52"/>
      <c r="E834" s="52"/>
      <c r="F834" s="71"/>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c r="A835" s="52"/>
      <c r="B835" s="52"/>
      <c r="C835" s="52"/>
      <c r="D835" s="52"/>
      <c r="E835" s="52"/>
      <c r="F835" s="71"/>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c r="A836" s="52"/>
      <c r="B836" s="52"/>
      <c r="C836" s="52"/>
      <c r="D836" s="52"/>
      <c r="E836" s="52"/>
      <c r="F836" s="71"/>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c r="A837" s="52"/>
      <c r="B837" s="52"/>
      <c r="C837" s="52"/>
      <c r="D837" s="52"/>
      <c r="E837" s="52"/>
      <c r="F837" s="71"/>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c r="A838" s="52"/>
      <c r="B838" s="52"/>
      <c r="C838" s="52"/>
      <c r="D838" s="52"/>
      <c r="E838" s="52"/>
      <c r="F838" s="71"/>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c r="A839" s="52"/>
      <c r="B839" s="52"/>
      <c r="C839" s="52"/>
      <c r="D839" s="52"/>
      <c r="E839" s="52"/>
      <c r="F839" s="71"/>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c r="A840" s="52"/>
      <c r="B840" s="52"/>
      <c r="C840" s="52"/>
      <c r="D840" s="52"/>
      <c r="E840" s="52"/>
      <c r="F840" s="71"/>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c r="A841" s="52"/>
      <c r="B841" s="52"/>
      <c r="C841" s="52"/>
      <c r="D841" s="52"/>
      <c r="E841" s="52"/>
      <c r="F841" s="71"/>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c r="A842" s="52"/>
      <c r="B842" s="52"/>
      <c r="C842" s="52"/>
      <c r="D842" s="52"/>
      <c r="E842" s="52"/>
      <c r="F842" s="71"/>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c r="A843" s="52"/>
      <c r="B843" s="52"/>
      <c r="C843" s="52"/>
      <c r="D843" s="52"/>
      <c r="E843" s="52"/>
      <c r="F843" s="71"/>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c r="A844" s="52"/>
      <c r="B844" s="52"/>
      <c r="C844" s="52"/>
      <c r="D844" s="52"/>
      <c r="E844" s="52"/>
      <c r="F844" s="71"/>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c r="A845" s="52"/>
      <c r="B845" s="52"/>
      <c r="C845" s="52"/>
      <c r="D845" s="52"/>
      <c r="E845" s="52"/>
      <c r="F845" s="71"/>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c r="A846" s="52"/>
      <c r="B846" s="52"/>
      <c r="C846" s="52"/>
      <c r="D846" s="52"/>
      <c r="E846" s="52"/>
      <c r="F846" s="71"/>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c r="A847" s="52"/>
      <c r="B847" s="52"/>
      <c r="C847" s="52"/>
      <c r="D847" s="52"/>
      <c r="E847" s="52"/>
      <c r="F847" s="71"/>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c r="A848" s="52"/>
      <c r="B848" s="52"/>
      <c r="C848" s="52"/>
      <c r="D848" s="52"/>
      <c r="E848" s="52"/>
      <c r="F848" s="71"/>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c r="A849" s="52"/>
      <c r="B849" s="52"/>
      <c r="C849" s="52"/>
      <c r="D849" s="52"/>
      <c r="E849" s="52"/>
      <c r="F849" s="71"/>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c r="A850" s="52"/>
      <c r="B850" s="52"/>
      <c r="C850" s="52"/>
      <c r="D850" s="52"/>
      <c r="E850" s="52"/>
      <c r="F850" s="71"/>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c r="A851" s="52"/>
      <c r="B851" s="52"/>
      <c r="C851" s="52"/>
      <c r="D851" s="52"/>
      <c r="E851" s="52"/>
      <c r="F851" s="71"/>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c r="A852" s="52"/>
      <c r="B852" s="52"/>
      <c r="C852" s="52"/>
      <c r="D852" s="52"/>
      <c r="E852" s="52"/>
      <c r="F852" s="71"/>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c r="A853" s="52"/>
      <c r="B853" s="52"/>
      <c r="C853" s="52"/>
      <c r="D853" s="52"/>
      <c r="E853" s="52"/>
      <c r="F853" s="71"/>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c r="A854" s="52"/>
      <c r="B854" s="52"/>
      <c r="C854" s="52"/>
      <c r="D854" s="52"/>
      <c r="E854" s="52"/>
      <c r="F854" s="71"/>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c r="A855" s="52"/>
      <c r="B855" s="52"/>
      <c r="C855" s="52"/>
      <c r="D855" s="52"/>
      <c r="E855" s="52"/>
      <c r="F855" s="71"/>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c r="A856" s="52"/>
      <c r="B856" s="52"/>
      <c r="C856" s="52"/>
      <c r="D856" s="52"/>
      <c r="E856" s="52"/>
      <c r="F856" s="71"/>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c r="A857" s="52"/>
      <c r="B857" s="52"/>
      <c r="C857" s="52"/>
      <c r="D857" s="52"/>
      <c r="E857" s="52"/>
      <c r="F857" s="71"/>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c r="A858" s="52"/>
      <c r="B858" s="52"/>
      <c r="C858" s="52"/>
      <c r="D858" s="52"/>
      <c r="E858" s="52"/>
      <c r="F858" s="71"/>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c r="A859" s="52"/>
      <c r="B859" s="52"/>
      <c r="C859" s="52"/>
      <c r="D859" s="52"/>
      <c r="E859" s="52"/>
      <c r="F859" s="71"/>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c r="A860" s="52"/>
      <c r="B860" s="52"/>
      <c r="C860" s="52"/>
      <c r="D860" s="52"/>
      <c r="E860" s="52"/>
      <c r="F860" s="71"/>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c r="A861" s="52"/>
      <c r="B861" s="52"/>
      <c r="C861" s="52"/>
      <c r="D861" s="52"/>
      <c r="E861" s="52"/>
      <c r="F861" s="71"/>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c r="A862" s="52"/>
      <c r="B862" s="52"/>
      <c r="C862" s="52"/>
      <c r="D862" s="52"/>
      <c r="E862" s="52"/>
      <c r="F862" s="71"/>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c r="A863" s="52"/>
      <c r="B863" s="52"/>
      <c r="C863" s="52"/>
      <c r="D863" s="52"/>
      <c r="E863" s="52"/>
      <c r="F863" s="71"/>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c r="A864" s="52"/>
      <c r="B864" s="52"/>
      <c r="C864" s="52"/>
      <c r="D864" s="52"/>
      <c r="E864" s="52"/>
      <c r="F864" s="71"/>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c r="A865" s="52"/>
      <c r="B865" s="52"/>
      <c r="C865" s="52"/>
      <c r="D865" s="52"/>
      <c r="E865" s="52"/>
      <c r="F865" s="71"/>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c r="A866" s="52"/>
      <c r="B866" s="52"/>
      <c r="C866" s="52"/>
      <c r="D866" s="52"/>
      <c r="E866" s="52"/>
      <c r="F866" s="71"/>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c r="A867" s="52"/>
      <c r="B867" s="52"/>
      <c r="C867" s="52"/>
      <c r="D867" s="52"/>
      <c r="E867" s="52"/>
      <c r="F867" s="71"/>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c r="A868" s="52"/>
      <c r="B868" s="52"/>
      <c r="C868" s="52"/>
      <c r="D868" s="52"/>
      <c r="E868" s="52"/>
      <c r="F868" s="71"/>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c r="A869" s="52"/>
      <c r="B869" s="52"/>
      <c r="C869" s="52"/>
      <c r="D869" s="52"/>
      <c r="E869" s="52"/>
      <c r="F869" s="71"/>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c r="A870" s="52"/>
      <c r="B870" s="52"/>
      <c r="C870" s="52"/>
      <c r="D870" s="52"/>
      <c r="E870" s="52"/>
      <c r="F870" s="71"/>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c r="A871" s="52"/>
      <c r="B871" s="52"/>
      <c r="C871" s="52"/>
      <c r="D871" s="52"/>
      <c r="E871" s="52"/>
      <c r="F871" s="71"/>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c r="A872" s="52"/>
      <c r="B872" s="52"/>
      <c r="C872" s="52"/>
      <c r="D872" s="52"/>
      <c r="E872" s="52"/>
      <c r="F872" s="71"/>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c r="A873" s="52"/>
      <c r="B873" s="52"/>
      <c r="C873" s="52"/>
      <c r="D873" s="52"/>
      <c r="E873" s="52"/>
      <c r="F873" s="71"/>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c r="A874" s="52"/>
      <c r="B874" s="52"/>
      <c r="C874" s="52"/>
      <c r="D874" s="52"/>
      <c r="E874" s="52"/>
      <c r="F874" s="71"/>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c r="A875" s="52"/>
      <c r="B875" s="52"/>
      <c r="C875" s="52"/>
      <c r="D875" s="52"/>
      <c r="E875" s="52"/>
      <c r="F875" s="71"/>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c r="A876" s="52"/>
      <c r="B876" s="52"/>
      <c r="C876" s="52"/>
      <c r="D876" s="52"/>
      <c r="E876" s="52"/>
      <c r="F876" s="71"/>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c r="A877" s="52"/>
      <c r="B877" s="52"/>
      <c r="C877" s="52"/>
      <c r="D877" s="52"/>
      <c r="E877" s="52"/>
      <c r="F877" s="71"/>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c r="A878" s="52"/>
      <c r="B878" s="52"/>
      <c r="C878" s="52"/>
      <c r="D878" s="52"/>
      <c r="E878" s="52"/>
      <c r="F878" s="71"/>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c r="A879" s="52"/>
      <c r="B879" s="52"/>
      <c r="C879" s="52"/>
      <c r="D879" s="52"/>
      <c r="E879" s="52"/>
      <c r="F879" s="71"/>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c r="A880" s="52"/>
      <c r="B880" s="52"/>
      <c r="C880" s="52"/>
      <c r="D880" s="52"/>
      <c r="E880" s="52"/>
      <c r="F880" s="71"/>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c r="A881" s="52"/>
      <c r="B881" s="52"/>
      <c r="C881" s="52"/>
      <c r="D881" s="52"/>
      <c r="E881" s="52"/>
      <c r="F881" s="71"/>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c r="A882" s="52"/>
      <c r="B882" s="52"/>
      <c r="C882" s="52"/>
      <c r="D882" s="52"/>
      <c r="E882" s="52"/>
      <c r="F882" s="71"/>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c r="A883" s="52"/>
      <c r="B883" s="52"/>
      <c r="C883" s="52"/>
      <c r="D883" s="52"/>
      <c r="E883" s="52"/>
      <c r="F883" s="71"/>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c r="A884" s="52"/>
      <c r="B884" s="52"/>
      <c r="C884" s="52"/>
      <c r="D884" s="52"/>
      <c r="E884" s="52"/>
      <c r="F884" s="71"/>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c r="A885" s="52"/>
      <c r="B885" s="52"/>
      <c r="C885" s="52"/>
      <c r="D885" s="52"/>
      <c r="E885" s="52"/>
      <c r="F885" s="71"/>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c r="A886" s="52"/>
      <c r="B886" s="52"/>
      <c r="C886" s="52"/>
      <c r="D886" s="52"/>
      <c r="E886" s="52"/>
      <c r="F886" s="71"/>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c r="A887" s="52"/>
      <c r="B887" s="52"/>
      <c r="C887" s="52"/>
      <c r="D887" s="52"/>
      <c r="E887" s="52"/>
      <c r="F887" s="71"/>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c r="A888" s="52"/>
      <c r="B888" s="52"/>
      <c r="C888" s="52"/>
      <c r="D888" s="52"/>
      <c r="E888" s="52"/>
      <c r="F888" s="71"/>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c r="A889" s="52"/>
      <c r="B889" s="52"/>
      <c r="C889" s="52"/>
      <c r="D889" s="52"/>
      <c r="E889" s="52"/>
      <c r="F889" s="71"/>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c r="A890" s="52"/>
      <c r="B890" s="52"/>
      <c r="C890" s="52"/>
      <c r="D890" s="52"/>
      <c r="E890" s="52"/>
      <c r="F890" s="71"/>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c r="A891" s="52"/>
      <c r="B891" s="52"/>
      <c r="C891" s="52"/>
      <c r="D891" s="52"/>
      <c r="E891" s="52"/>
      <c r="F891" s="71"/>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c r="A892" s="52"/>
      <c r="B892" s="52"/>
      <c r="C892" s="52"/>
      <c r="D892" s="52"/>
      <c r="E892" s="52"/>
      <c r="F892" s="71"/>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c r="A893" s="52"/>
      <c r="B893" s="52"/>
      <c r="C893" s="52"/>
      <c r="D893" s="52"/>
      <c r="E893" s="52"/>
      <c r="F893" s="71"/>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c r="A894" s="52"/>
      <c r="B894" s="52"/>
      <c r="C894" s="52"/>
      <c r="D894" s="52"/>
      <c r="E894" s="52"/>
      <c r="F894" s="71"/>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c r="A895" s="52"/>
      <c r="B895" s="52"/>
      <c r="C895" s="52"/>
      <c r="D895" s="52"/>
      <c r="E895" s="52"/>
      <c r="F895" s="71"/>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c r="A896" s="52"/>
      <c r="B896" s="52"/>
      <c r="C896" s="52"/>
      <c r="D896" s="52"/>
      <c r="E896" s="52"/>
      <c r="F896" s="71"/>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c r="A897" s="52"/>
      <c r="B897" s="52"/>
      <c r="C897" s="52"/>
      <c r="D897" s="52"/>
      <c r="E897" s="52"/>
      <c r="F897" s="71"/>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c r="A898" s="52"/>
      <c r="B898" s="52"/>
      <c r="C898" s="52"/>
      <c r="D898" s="52"/>
      <c r="E898" s="52"/>
      <c r="F898" s="71"/>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c r="A899" s="52"/>
      <c r="B899" s="52"/>
      <c r="C899" s="52"/>
      <c r="D899" s="52"/>
      <c r="E899" s="52"/>
      <c r="F899" s="71"/>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c r="A900" s="52"/>
      <c r="B900" s="52"/>
      <c r="C900" s="52"/>
      <c r="D900" s="52"/>
      <c r="E900" s="52"/>
      <c r="F900" s="71"/>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c r="A901" s="52"/>
      <c r="B901" s="52"/>
      <c r="C901" s="52"/>
      <c r="D901" s="52"/>
      <c r="E901" s="52"/>
      <c r="F901" s="71"/>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c r="A902" s="52"/>
      <c r="B902" s="52"/>
      <c r="C902" s="52"/>
      <c r="D902" s="52"/>
      <c r="E902" s="52"/>
      <c r="F902" s="71"/>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c r="A903" s="52"/>
      <c r="B903" s="52"/>
      <c r="C903" s="52"/>
      <c r="D903" s="52"/>
      <c r="E903" s="52"/>
      <c r="F903" s="71"/>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c r="A904" s="52"/>
      <c r="B904" s="52"/>
      <c r="C904" s="52"/>
      <c r="D904" s="52"/>
      <c r="E904" s="52"/>
      <c r="F904" s="71"/>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c r="A905" s="52"/>
      <c r="B905" s="52"/>
      <c r="C905" s="52"/>
      <c r="D905" s="52"/>
      <c r="E905" s="52"/>
      <c r="F905" s="71"/>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c r="A906" s="52"/>
      <c r="B906" s="52"/>
      <c r="C906" s="52"/>
      <c r="D906" s="52"/>
      <c r="E906" s="52"/>
      <c r="F906" s="71"/>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c r="A907" s="52"/>
      <c r="B907" s="52"/>
      <c r="C907" s="52"/>
      <c r="D907" s="52"/>
      <c r="E907" s="52"/>
      <c r="F907" s="71"/>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c r="A908" s="52"/>
      <c r="B908" s="52"/>
      <c r="C908" s="52"/>
      <c r="D908" s="52"/>
      <c r="E908" s="52"/>
      <c r="F908" s="71"/>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c r="A909" s="52"/>
      <c r="B909" s="52"/>
      <c r="C909" s="52"/>
      <c r="D909" s="52"/>
      <c r="E909" s="52"/>
      <c r="F909" s="71"/>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c r="A910" s="52"/>
      <c r="B910" s="52"/>
      <c r="C910" s="52"/>
      <c r="D910" s="52"/>
      <c r="E910" s="52"/>
      <c r="F910" s="71"/>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c r="A911" s="52"/>
      <c r="B911" s="52"/>
      <c r="C911" s="52"/>
      <c r="D911" s="52"/>
      <c r="E911" s="52"/>
      <c r="F911" s="71"/>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c r="A912" s="52"/>
      <c r="B912" s="52"/>
      <c r="C912" s="52"/>
      <c r="D912" s="52"/>
      <c r="E912" s="52"/>
      <c r="F912" s="71"/>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c r="A913" s="52"/>
      <c r="B913" s="52"/>
      <c r="C913" s="52"/>
      <c r="D913" s="52"/>
      <c r="E913" s="52"/>
      <c r="F913" s="71"/>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c r="A914" s="52"/>
      <c r="B914" s="52"/>
      <c r="C914" s="52"/>
      <c r="D914" s="52"/>
      <c r="E914" s="52"/>
      <c r="F914" s="71"/>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c r="A915" s="52"/>
      <c r="B915" s="52"/>
      <c r="C915" s="52"/>
      <c r="D915" s="52"/>
      <c r="E915" s="52"/>
      <c r="F915" s="71"/>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c r="A916" s="52"/>
      <c r="B916" s="52"/>
      <c r="C916" s="52"/>
      <c r="D916" s="52"/>
      <c r="E916" s="52"/>
      <c r="F916" s="71"/>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c r="A917" s="52"/>
      <c r="B917" s="52"/>
      <c r="C917" s="52"/>
      <c r="D917" s="52"/>
      <c r="E917" s="52"/>
      <c r="F917" s="71"/>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c r="A918" s="52"/>
      <c r="B918" s="52"/>
      <c r="C918" s="52"/>
      <c r="D918" s="52"/>
      <c r="E918" s="52"/>
      <c r="F918" s="71"/>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c r="A919" s="52"/>
      <c r="B919" s="52"/>
      <c r="C919" s="52"/>
      <c r="D919" s="52"/>
      <c r="E919" s="52"/>
      <c r="F919" s="71"/>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c r="A920" s="52"/>
      <c r="B920" s="52"/>
      <c r="C920" s="52"/>
      <c r="D920" s="52"/>
      <c r="E920" s="52"/>
      <c r="F920" s="71"/>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c r="A921" s="52"/>
      <c r="B921" s="52"/>
      <c r="C921" s="52"/>
      <c r="D921" s="52"/>
      <c r="E921" s="52"/>
      <c r="F921" s="71"/>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c r="A922" s="52"/>
      <c r="B922" s="52"/>
      <c r="C922" s="52"/>
      <c r="D922" s="52"/>
      <c r="E922" s="52"/>
      <c r="F922" s="71"/>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c r="A923" s="52"/>
      <c r="B923" s="52"/>
      <c r="C923" s="52"/>
      <c r="D923" s="52"/>
      <c r="E923" s="52"/>
      <c r="F923" s="71"/>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c r="A924" s="52"/>
      <c r="B924" s="52"/>
      <c r="C924" s="52"/>
      <c r="D924" s="52"/>
      <c r="E924" s="52"/>
      <c r="F924" s="71"/>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c r="A925" s="52"/>
      <c r="B925" s="52"/>
      <c r="C925" s="52"/>
      <c r="D925" s="52"/>
      <c r="E925" s="52"/>
      <c r="F925" s="71"/>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c r="A926" s="52"/>
      <c r="B926" s="52"/>
      <c r="C926" s="52"/>
      <c r="D926" s="52"/>
      <c r="E926" s="52"/>
      <c r="F926" s="71"/>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c r="A927" s="52"/>
      <c r="B927" s="52"/>
      <c r="C927" s="52"/>
      <c r="D927" s="52"/>
      <c r="E927" s="52"/>
      <c r="F927" s="71"/>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c r="A928" s="52"/>
      <c r="B928" s="52"/>
      <c r="C928" s="52"/>
      <c r="D928" s="52"/>
      <c r="E928" s="52"/>
      <c r="F928" s="71"/>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c r="A929" s="52"/>
      <c r="B929" s="52"/>
      <c r="C929" s="52"/>
      <c r="D929" s="52"/>
      <c r="E929" s="52"/>
      <c r="F929" s="71"/>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c r="A930" s="52"/>
      <c r="B930" s="52"/>
      <c r="C930" s="52"/>
      <c r="D930" s="52"/>
      <c r="E930" s="52"/>
      <c r="F930" s="71"/>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c r="A931" s="52"/>
      <c r="B931" s="52"/>
      <c r="C931" s="52"/>
      <c r="D931" s="52"/>
      <c r="E931" s="52"/>
      <c r="F931" s="71"/>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c r="A932" s="52"/>
      <c r="B932" s="52"/>
      <c r="C932" s="52"/>
      <c r="D932" s="52"/>
      <c r="E932" s="52"/>
      <c r="F932" s="71"/>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c r="A933" s="52"/>
      <c r="B933" s="52"/>
      <c r="C933" s="52"/>
      <c r="D933" s="52"/>
      <c r="E933" s="52"/>
      <c r="F933" s="71"/>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c r="A934" s="52"/>
      <c r="B934" s="52"/>
      <c r="C934" s="52"/>
      <c r="D934" s="52"/>
      <c r="E934" s="52"/>
      <c r="F934" s="71"/>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c r="A935" s="52"/>
      <c r="B935" s="52"/>
      <c r="C935" s="52"/>
      <c r="D935" s="52"/>
      <c r="E935" s="52"/>
      <c r="F935" s="71"/>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c r="A936" s="52"/>
      <c r="B936" s="52"/>
      <c r="C936" s="52"/>
      <c r="D936" s="52"/>
      <c r="E936" s="52"/>
      <c r="F936" s="71"/>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c r="A937" s="52"/>
      <c r="B937" s="52"/>
      <c r="C937" s="52"/>
      <c r="D937" s="52"/>
      <c r="E937" s="52"/>
      <c r="F937" s="71"/>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c r="A938" s="52"/>
      <c r="B938" s="52"/>
      <c r="C938" s="52"/>
      <c r="D938" s="52"/>
      <c r="E938" s="52"/>
      <c r="F938" s="71"/>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c r="A939" s="52"/>
      <c r="B939" s="52"/>
      <c r="C939" s="52"/>
      <c r="D939" s="52"/>
      <c r="E939" s="52"/>
      <c r="F939" s="71"/>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c r="A940" s="52"/>
      <c r="B940" s="52"/>
      <c r="C940" s="52"/>
      <c r="D940" s="52"/>
      <c r="E940" s="52"/>
      <c r="F940" s="71"/>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c r="A941" s="52"/>
      <c r="B941" s="52"/>
      <c r="C941" s="52"/>
      <c r="D941" s="52"/>
      <c r="E941" s="52"/>
      <c r="F941" s="71"/>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c r="A942" s="52"/>
      <c r="B942" s="52"/>
      <c r="C942" s="52"/>
      <c r="D942" s="52"/>
      <c r="E942" s="52"/>
      <c r="F942" s="71"/>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c r="A943" s="52"/>
      <c r="B943" s="52"/>
      <c r="C943" s="52"/>
      <c r="D943" s="52"/>
      <c r="E943" s="52"/>
      <c r="F943" s="71"/>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c r="A944" s="52"/>
      <c r="B944" s="52"/>
      <c r="C944" s="52"/>
      <c r="D944" s="52"/>
      <c r="E944" s="52"/>
      <c r="F944" s="71"/>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c r="A945" s="52"/>
      <c r="B945" s="52"/>
      <c r="C945" s="52"/>
      <c r="D945" s="52"/>
      <c r="E945" s="52"/>
      <c r="F945" s="71"/>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c r="A946" s="52"/>
      <c r="B946" s="52"/>
      <c r="C946" s="52"/>
      <c r="D946" s="52"/>
      <c r="E946" s="52"/>
      <c r="F946" s="71"/>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c r="A947" s="52"/>
      <c r="B947" s="52"/>
      <c r="C947" s="52"/>
      <c r="D947" s="52"/>
      <c r="E947" s="52"/>
      <c r="F947" s="71"/>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c r="A948" s="52"/>
      <c r="B948" s="52"/>
      <c r="C948" s="52"/>
      <c r="D948" s="52"/>
      <c r="E948" s="52"/>
      <c r="F948" s="71"/>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c r="A949" s="52"/>
      <c r="B949" s="52"/>
      <c r="C949" s="52"/>
      <c r="D949" s="52"/>
      <c r="E949" s="52"/>
      <c r="F949" s="71"/>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c r="A950" s="52"/>
      <c r="B950" s="52"/>
      <c r="C950" s="52"/>
      <c r="D950" s="52"/>
      <c r="E950" s="52"/>
      <c r="F950" s="71"/>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c r="A951" s="52"/>
      <c r="B951" s="52"/>
      <c r="C951" s="52"/>
      <c r="D951" s="52"/>
      <c r="E951" s="52"/>
      <c r="F951" s="71"/>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c r="A952" s="52"/>
      <c r="B952" s="52"/>
      <c r="C952" s="52"/>
      <c r="D952" s="52"/>
      <c r="E952" s="52"/>
      <c r="F952" s="71"/>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c r="A953" s="52"/>
      <c r="B953" s="52"/>
      <c r="C953" s="52"/>
      <c r="D953" s="52"/>
      <c r="E953" s="52"/>
      <c r="F953" s="71"/>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c r="A954" s="52"/>
      <c r="B954" s="52"/>
      <c r="C954" s="52"/>
      <c r="D954" s="52"/>
      <c r="E954" s="52"/>
      <c r="F954" s="71"/>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c r="A955" s="52"/>
      <c r="B955" s="52"/>
      <c r="C955" s="52"/>
      <c r="D955" s="52"/>
      <c r="E955" s="52"/>
      <c r="F955" s="71"/>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c r="A956" s="52"/>
      <c r="B956" s="52"/>
      <c r="C956" s="52"/>
      <c r="D956" s="52"/>
      <c r="E956" s="52"/>
      <c r="F956" s="71"/>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c r="A957" s="52"/>
      <c r="B957" s="52"/>
      <c r="C957" s="52"/>
      <c r="D957" s="52"/>
      <c r="E957" s="52"/>
      <c r="F957" s="71"/>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c r="A958" s="52"/>
      <c r="B958" s="52"/>
      <c r="C958" s="52"/>
      <c r="D958" s="52"/>
      <c r="E958" s="52"/>
      <c r="F958" s="71"/>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c r="A959" s="52"/>
      <c r="B959" s="52"/>
      <c r="C959" s="52"/>
      <c r="D959" s="52"/>
      <c r="E959" s="52"/>
      <c r="F959" s="71"/>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c r="A960" s="52"/>
      <c r="B960" s="52"/>
      <c r="C960" s="52"/>
      <c r="D960" s="52"/>
      <c r="E960" s="52"/>
      <c r="F960" s="71"/>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c r="A961" s="52"/>
      <c r="B961" s="52"/>
      <c r="C961" s="52"/>
      <c r="D961" s="52"/>
      <c r="E961" s="52"/>
      <c r="F961" s="71"/>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c r="A962" s="52"/>
      <c r="B962" s="52"/>
      <c r="C962" s="52"/>
      <c r="D962" s="52"/>
      <c r="E962" s="52"/>
      <c r="F962" s="71"/>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c r="A963" s="52"/>
      <c r="B963" s="52"/>
      <c r="C963" s="52"/>
      <c r="D963" s="52"/>
      <c r="E963" s="52"/>
      <c r="F963" s="71"/>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c r="A964" s="52"/>
      <c r="B964" s="52"/>
      <c r="C964" s="52"/>
      <c r="D964" s="52"/>
      <c r="E964" s="52"/>
      <c r="F964" s="71"/>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c r="A965" s="52"/>
      <c r="B965" s="52"/>
      <c r="C965" s="52"/>
      <c r="D965" s="52"/>
      <c r="E965" s="52"/>
      <c r="F965" s="71"/>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c r="A966" s="52"/>
      <c r="B966" s="52"/>
      <c r="C966" s="52"/>
      <c r="D966" s="52"/>
      <c r="E966" s="52"/>
      <c r="F966" s="71"/>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c r="A967" s="52"/>
      <c r="B967" s="52"/>
      <c r="C967" s="52"/>
      <c r="D967" s="52"/>
      <c r="E967" s="52"/>
      <c r="F967" s="71"/>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c r="A968" s="52"/>
      <c r="B968" s="52"/>
      <c r="C968" s="52"/>
      <c r="D968" s="52"/>
      <c r="E968" s="52"/>
      <c r="F968" s="71"/>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c r="A969" s="52"/>
      <c r="B969" s="52"/>
      <c r="C969" s="52"/>
      <c r="D969" s="52"/>
      <c r="E969" s="52"/>
      <c r="F969" s="71"/>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c r="A970" s="52"/>
      <c r="B970" s="52"/>
      <c r="C970" s="52"/>
      <c r="D970" s="52"/>
      <c r="E970" s="52"/>
      <c r="F970" s="71"/>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c r="A971" s="52"/>
      <c r="B971" s="52"/>
      <c r="C971" s="52"/>
      <c r="D971" s="52"/>
      <c r="E971" s="52"/>
      <c r="F971" s="71"/>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c r="A972" s="52"/>
      <c r="B972" s="52"/>
      <c r="C972" s="52"/>
      <c r="D972" s="52"/>
      <c r="E972" s="52"/>
      <c r="F972" s="71"/>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c r="A973" s="52"/>
      <c r="B973" s="52"/>
      <c r="C973" s="52"/>
      <c r="D973" s="52"/>
      <c r="E973" s="52"/>
      <c r="F973" s="71"/>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c r="A974" s="52"/>
      <c r="B974" s="52"/>
      <c r="C974" s="52"/>
      <c r="D974" s="52"/>
      <c r="E974" s="52"/>
      <c r="F974" s="71"/>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c r="A975" s="52"/>
      <c r="B975" s="52"/>
      <c r="C975" s="52"/>
      <c r="D975" s="52"/>
      <c r="E975" s="52"/>
      <c r="F975" s="71"/>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c r="A976" s="52"/>
      <c r="B976" s="52"/>
      <c r="C976" s="52"/>
      <c r="D976" s="52"/>
      <c r="E976" s="52"/>
      <c r="F976" s="71"/>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c r="A977" s="52"/>
      <c r="B977" s="52"/>
      <c r="C977" s="52"/>
      <c r="D977" s="52"/>
      <c r="E977" s="52"/>
      <c r="F977" s="71"/>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c r="A978" s="52"/>
      <c r="B978" s="52"/>
      <c r="C978" s="52"/>
      <c r="D978" s="52"/>
      <c r="E978" s="52"/>
      <c r="F978" s="71"/>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c r="A979" s="52"/>
      <c r="B979" s="52"/>
      <c r="C979" s="52"/>
      <c r="D979" s="52"/>
      <c r="E979" s="52"/>
      <c r="F979" s="71"/>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c r="A980" s="52"/>
      <c r="B980" s="52"/>
      <c r="C980" s="52"/>
      <c r="D980" s="52"/>
      <c r="E980" s="52"/>
      <c r="F980" s="71"/>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c r="A981" s="52"/>
      <c r="B981" s="52"/>
      <c r="C981" s="52"/>
      <c r="D981" s="52"/>
      <c r="E981" s="52"/>
      <c r="F981" s="71"/>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c r="A982" s="52"/>
      <c r="B982" s="52"/>
      <c r="C982" s="52"/>
      <c r="D982" s="52"/>
      <c r="E982" s="52"/>
      <c r="F982" s="71"/>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c r="A983" s="52"/>
      <c r="B983" s="52"/>
      <c r="C983" s="52"/>
      <c r="D983" s="52"/>
      <c r="E983" s="52"/>
      <c r="F983" s="71"/>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c r="A984" s="52"/>
      <c r="B984" s="52"/>
      <c r="C984" s="52"/>
      <c r="D984" s="52"/>
      <c r="E984" s="52"/>
      <c r="F984" s="71"/>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c r="A985" s="52"/>
      <c r="B985" s="52"/>
      <c r="C985" s="52"/>
      <c r="D985" s="52"/>
      <c r="E985" s="52"/>
      <c r="F985" s="71"/>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c r="A986" s="52"/>
      <c r="B986" s="52"/>
      <c r="C986" s="52"/>
      <c r="D986" s="52"/>
      <c r="E986" s="52"/>
      <c r="F986" s="71"/>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c r="A987" s="52"/>
      <c r="B987" s="52"/>
      <c r="C987" s="52"/>
      <c r="D987" s="52"/>
      <c r="E987" s="52"/>
      <c r="F987" s="71"/>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c r="A988" s="52"/>
      <c r="B988" s="52"/>
      <c r="C988" s="52"/>
      <c r="D988" s="52"/>
      <c r="E988" s="52"/>
      <c r="F988" s="71"/>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c r="A989" s="52"/>
      <c r="B989" s="52"/>
      <c r="C989" s="52"/>
      <c r="D989" s="52"/>
      <c r="E989" s="52"/>
      <c r="F989" s="71"/>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c r="A990" s="52"/>
      <c r="B990" s="52"/>
      <c r="C990" s="52"/>
      <c r="D990" s="52"/>
      <c r="E990" s="52"/>
      <c r="F990" s="71"/>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c r="A991" s="52"/>
      <c r="B991" s="52"/>
      <c r="C991" s="52"/>
      <c r="D991" s="52"/>
      <c r="E991" s="52"/>
      <c r="F991" s="71"/>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c r="A992" s="52"/>
      <c r="B992" s="52"/>
      <c r="C992" s="52"/>
      <c r="D992" s="52"/>
      <c r="E992" s="52"/>
      <c r="F992" s="71"/>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c r="A993" s="52"/>
      <c r="B993" s="52"/>
      <c r="C993" s="52"/>
      <c r="D993" s="52"/>
      <c r="E993" s="52"/>
      <c r="F993" s="71"/>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c r="A994" s="52"/>
      <c r="B994" s="52"/>
      <c r="C994" s="52"/>
      <c r="D994" s="52"/>
      <c r="E994" s="52"/>
      <c r="F994" s="71"/>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c r="A995" s="52"/>
      <c r="B995" s="52"/>
      <c r="C995" s="52"/>
      <c r="D995" s="52"/>
      <c r="E995" s="52"/>
      <c r="F995" s="71"/>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c r="A996" s="52"/>
      <c r="B996" s="52"/>
      <c r="C996" s="52"/>
      <c r="D996" s="52"/>
      <c r="E996" s="52"/>
      <c r="F996" s="71"/>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c r="A997" s="52"/>
      <c r="B997" s="52"/>
      <c r="C997" s="52"/>
      <c r="D997" s="52"/>
      <c r="E997" s="52"/>
      <c r="F997" s="71"/>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c r="A998" s="52"/>
      <c r="B998" s="52"/>
      <c r="C998" s="52"/>
      <c r="D998" s="52"/>
      <c r="E998" s="52"/>
      <c r="F998" s="71"/>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c r="A999" s="52"/>
      <c r="B999" s="52"/>
      <c r="C999" s="52"/>
      <c r="D999" s="52"/>
      <c r="E999" s="52"/>
      <c r="F999" s="71"/>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c r="A1000" s="52"/>
      <c r="B1000" s="52"/>
      <c r="C1000" s="52"/>
      <c r="D1000" s="52"/>
      <c r="E1000" s="52"/>
      <c r="F1000" s="71"/>
      <c r="G1000" s="52"/>
      <c r="H1000" s="52"/>
      <c r="I1000" s="52"/>
      <c r="J1000" s="52"/>
      <c r="K1000" s="52"/>
      <c r="L1000" s="52"/>
      <c r="M1000" s="52"/>
      <c r="N1000" s="52"/>
      <c r="O1000" s="52"/>
      <c r="P1000" s="52"/>
      <c r="Q1000" s="52"/>
      <c r="R1000" s="52"/>
      <c r="S1000" s="52"/>
      <c r="T1000" s="52"/>
      <c r="U1000" s="52"/>
      <c r="V1000" s="52"/>
      <c r="W1000" s="52"/>
      <c r="X1000" s="52"/>
      <c r="Y1000" s="52"/>
      <c r="Z1000" s="52"/>
    </row>
    <row r="1001" spans="1:26" ht="15.75" customHeight="1">
      <c r="A1001" s="52"/>
      <c r="B1001" s="52"/>
      <c r="C1001" s="52"/>
      <c r="D1001" s="52"/>
      <c r="E1001" s="52"/>
      <c r="F1001" s="71"/>
      <c r="G1001" s="52"/>
      <c r="H1001" s="52"/>
      <c r="I1001" s="52"/>
      <c r="J1001" s="52"/>
      <c r="K1001" s="52"/>
      <c r="L1001" s="52"/>
      <c r="M1001" s="52"/>
      <c r="N1001" s="52"/>
      <c r="O1001" s="52"/>
      <c r="P1001" s="52"/>
      <c r="Q1001" s="52"/>
      <c r="R1001" s="52"/>
      <c r="S1001" s="52"/>
      <c r="T1001" s="52"/>
      <c r="U1001" s="52"/>
      <c r="V1001" s="52"/>
      <c r="W1001" s="52"/>
      <c r="X1001" s="52"/>
      <c r="Y1001" s="52"/>
      <c r="Z1001" s="52"/>
    </row>
    <row r="1002" spans="1:26" ht="15.75" customHeight="1">
      <c r="A1002" s="52"/>
      <c r="B1002" s="52"/>
      <c r="C1002" s="52"/>
      <c r="D1002" s="52"/>
      <c r="E1002" s="52"/>
      <c r="F1002" s="71"/>
      <c r="G1002" s="52"/>
      <c r="H1002" s="52"/>
      <c r="I1002" s="52"/>
      <c r="J1002" s="52"/>
      <c r="K1002" s="52"/>
      <c r="L1002" s="52"/>
      <c r="M1002" s="52"/>
      <c r="N1002" s="52"/>
      <c r="O1002" s="52"/>
      <c r="P1002" s="52"/>
      <c r="Q1002" s="52"/>
      <c r="R1002" s="52"/>
      <c r="S1002" s="52"/>
      <c r="T1002" s="52"/>
      <c r="U1002" s="52"/>
      <c r="V1002" s="52"/>
      <c r="W1002" s="52"/>
      <c r="X1002" s="52"/>
      <c r="Y1002" s="52"/>
      <c r="Z1002" s="52"/>
    </row>
    <row r="1003" spans="1:26" ht="15.75" customHeight="1">
      <c r="A1003" s="52"/>
      <c r="B1003" s="52"/>
      <c r="C1003" s="52"/>
      <c r="D1003" s="52"/>
      <c r="E1003" s="52"/>
      <c r="F1003" s="71"/>
      <c r="G1003" s="52"/>
      <c r="H1003" s="52"/>
      <c r="I1003" s="52"/>
      <c r="J1003" s="52"/>
      <c r="K1003" s="52"/>
      <c r="L1003" s="52"/>
      <c r="M1003" s="52"/>
      <c r="N1003" s="52"/>
      <c r="O1003" s="52"/>
      <c r="P1003" s="52"/>
      <c r="Q1003" s="52"/>
      <c r="R1003" s="52"/>
      <c r="S1003" s="52"/>
      <c r="T1003" s="52"/>
      <c r="U1003" s="52"/>
      <c r="V1003" s="52"/>
      <c r="W1003" s="52"/>
      <c r="X1003" s="52"/>
      <c r="Y1003" s="52"/>
      <c r="Z1003" s="52"/>
    </row>
    <row r="1004" spans="1:26" ht="15.75" customHeight="1">
      <c r="A1004" s="52"/>
      <c r="B1004" s="52"/>
      <c r="C1004" s="52"/>
      <c r="D1004" s="52"/>
      <c r="E1004" s="52"/>
      <c r="F1004" s="71"/>
      <c r="G1004" s="52"/>
      <c r="H1004" s="52"/>
      <c r="I1004" s="52"/>
      <c r="J1004" s="52"/>
      <c r="K1004" s="52"/>
      <c r="L1004" s="52"/>
      <c r="M1004" s="52"/>
      <c r="N1004" s="52"/>
      <c r="O1004" s="52"/>
      <c r="P1004" s="52"/>
      <c r="Q1004" s="52"/>
      <c r="R1004" s="52"/>
      <c r="S1004" s="52"/>
      <c r="T1004" s="52"/>
      <c r="U1004" s="52"/>
      <c r="V1004" s="52"/>
      <c r="W1004" s="52"/>
      <c r="X1004" s="52"/>
      <c r="Y1004" s="52"/>
      <c r="Z1004" s="52"/>
    </row>
    <row r="1005" spans="1:26" ht="15.75" customHeight="1">
      <c r="A1005" s="52"/>
      <c r="B1005" s="52"/>
      <c r="C1005" s="52"/>
      <c r="D1005" s="52"/>
      <c r="E1005" s="52"/>
      <c r="F1005" s="71"/>
      <c r="G1005" s="52"/>
      <c r="H1005" s="52"/>
      <c r="I1005" s="52"/>
      <c r="J1005" s="52"/>
      <c r="K1005" s="52"/>
      <c r="L1005" s="52"/>
      <c r="M1005" s="52"/>
      <c r="N1005" s="52"/>
      <c r="O1005" s="52"/>
      <c r="P1005" s="52"/>
      <c r="Q1005" s="52"/>
      <c r="R1005" s="52"/>
      <c r="S1005" s="52"/>
      <c r="T1005" s="52"/>
      <c r="U1005" s="52"/>
      <c r="V1005" s="52"/>
      <c r="W1005" s="52"/>
      <c r="X1005" s="52"/>
      <c r="Y1005" s="52"/>
      <c r="Z1005" s="52"/>
    </row>
    <row r="1006" spans="1:26" ht="15.75" customHeight="1">
      <c r="A1006" s="52"/>
      <c r="B1006" s="52"/>
      <c r="C1006" s="52"/>
      <c r="D1006" s="52"/>
      <c r="E1006" s="52"/>
      <c r="F1006" s="71"/>
      <c r="G1006" s="52"/>
      <c r="H1006" s="52"/>
      <c r="I1006" s="52"/>
      <c r="J1006" s="52"/>
      <c r="K1006" s="52"/>
      <c r="L1006" s="52"/>
      <c r="M1006" s="52"/>
      <c r="N1006" s="52"/>
      <c r="O1006" s="52"/>
      <c r="P1006" s="52"/>
      <c r="Q1006" s="52"/>
      <c r="R1006" s="52"/>
      <c r="S1006" s="52"/>
      <c r="T1006" s="52"/>
      <c r="U1006" s="52"/>
      <c r="V1006" s="52"/>
      <c r="W1006" s="52"/>
      <c r="X1006" s="52"/>
      <c r="Y1006" s="52"/>
      <c r="Z1006" s="52"/>
    </row>
    <row r="1007" spans="1:26" ht="15.75" customHeight="1">
      <c r="A1007" s="52"/>
      <c r="B1007" s="52"/>
      <c r="C1007" s="52"/>
      <c r="D1007" s="52"/>
      <c r="E1007" s="52"/>
      <c r="F1007" s="71"/>
      <c r="G1007" s="52"/>
      <c r="H1007" s="52"/>
      <c r="I1007" s="52"/>
      <c r="J1007" s="52"/>
      <c r="K1007" s="52"/>
      <c r="L1007" s="52"/>
      <c r="M1007" s="52"/>
      <c r="N1007" s="52"/>
      <c r="O1007" s="52"/>
      <c r="P1007" s="52"/>
      <c r="Q1007" s="52"/>
      <c r="R1007" s="52"/>
      <c r="S1007" s="52"/>
      <c r="T1007" s="52"/>
      <c r="U1007" s="52"/>
      <c r="V1007" s="52"/>
      <c r="W1007" s="52"/>
      <c r="X1007" s="52"/>
      <c r="Y1007" s="52"/>
      <c r="Z1007" s="52"/>
    </row>
    <row r="1008" spans="1:26" ht="15.75" customHeight="1">
      <c r="A1008" s="52"/>
      <c r="B1008" s="52"/>
      <c r="C1008" s="52"/>
      <c r="D1008" s="52"/>
      <c r="E1008" s="52"/>
      <c r="F1008" s="71"/>
      <c r="G1008" s="52"/>
      <c r="H1008" s="52"/>
      <c r="I1008" s="52"/>
      <c r="J1008" s="52"/>
      <c r="K1008" s="52"/>
      <c r="L1008" s="52"/>
      <c r="M1008" s="52"/>
      <c r="N1008" s="52"/>
      <c r="O1008" s="52"/>
      <c r="P1008" s="52"/>
      <c r="Q1008" s="52"/>
      <c r="R1008" s="52"/>
      <c r="S1008" s="52"/>
      <c r="T1008" s="52"/>
      <c r="U1008" s="52"/>
      <c r="V1008" s="52"/>
      <c r="W1008" s="52"/>
      <c r="X1008" s="52"/>
      <c r="Y1008" s="52"/>
      <c r="Z1008" s="52"/>
    </row>
    <row r="1009" spans="1:26" ht="15.75" customHeight="1">
      <c r="A1009" s="52"/>
      <c r="B1009" s="52"/>
      <c r="C1009" s="52"/>
      <c r="D1009" s="52"/>
      <c r="E1009" s="52"/>
      <c r="F1009" s="71"/>
      <c r="G1009" s="52"/>
      <c r="H1009" s="52"/>
      <c r="I1009" s="52"/>
      <c r="J1009" s="52"/>
      <c r="K1009" s="52"/>
      <c r="L1009" s="52"/>
      <c r="M1009" s="52"/>
      <c r="N1009" s="52"/>
      <c r="O1009" s="52"/>
      <c r="P1009" s="52"/>
      <c r="Q1009" s="52"/>
      <c r="R1009" s="52"/>
      <c r="S1009" s="52"/>
      <c r="T1009" s="52"/>
      <c r="U1009" s="52"/>
      <c r="V1009" s="52"/>
      <c r="W1009" s="52"/>
      <c r="X1009" s="52"/>
      <c r="Y1009" s="52"/>
      <c r="Z1009" s="52"/>
    </row>
    <row r="1010" spans="1:26" ht="15.75" customHeight="1">
      <c r="A1010" s="52"/>
      <c r="B1010" s="52"/>
      <c r="C1010" s="52"/>
      <c r="D1010" s="52"/>
      <c r="E1010" s="52"/>
      <c r="F1010" s="71"/>
      <c r="G1010" s="52"/>
      <c r="H1010" s="52"/>
      <c r="I1010" s="52"/>
      <c r="J1010" s="52"/>
      <c r="K1010" s="52"/>
      <c r="L1010" s="52"/>
      <c r="M1010" s="52"/>
      <c r="N1010" s="52"/>
      <c r="O1010" s="52"/>
      <c r="P1010" s="52"/>
      <c r="Q1010" s="52"/>
      <c r="R1010" s="52"/>
      <c r="S1010" s="52"/>
      <c r="T1010" s="52"/>
      <c r="U1010" s="52"/>
      <c r="V1010" s="52"/>
      <c r="W1010" s="52"/>
      <c r="X1010" s="52"/>
      <c r="Y1010" s="52"/>
      <c r="Z1010" s="52"/>
    </row>
    <row r="1011" spans="1:26" ht="15.75" customHeight="1">
      <c r="A1011" s="52"/>
      <c r="B1011" s="52"/>
      <c r="C1011" s="52"/>
      <c r="D1011" s="52"/>
      <c r="E1011" s="52"/>
      <c r="F1011" s="71"/>
      <c r="G1011" s="52"/>
      <c r="H1011" s="52"/>
      <c r="I1011" s="52"/>
      <c r="J1011" s="52"/>
      <c r="K1011" s="52"/>
      <c r="L1011" s="52"/>
      <c r="M1011" s="52"/>
      <c r="N1011" s="52"/>
      <c r="O1011" s="52"/>
      <c r="P1011" s="52"/>
      <c r="Q1011" s="52"/>
      <c r="R1011" s="52"/>
      <c r="S1011" s="52"/>
      <c r="T1011" s="52"/>
      <c r="U1011" s="52"/>
      <c r="V1011" s="52"/>
      <c r="W1011" s="52"/>
      <c r="X1011" s="52"/>
      <c r="Y1011" s="52"/>
      <c r="Z1011" s="52"/>
    </row>
    <row r="1012" spans="1:26" ht="15.75" customHeight="1">
      <c r="A1012" s="52"/>
      <c r="B1012" s="52"/>
      <c r="C1012" s="52"/>
      <c r="D1012" s="52"/>
      <c r="E1012" s="52"/>
      <c r="F1012" s="71"/>
      <c r="G1012" s="52"/>
      <c r="H1012" s="52"/>
      <c r="I1012" s="52"/>
      <c r="J1012" s="52"/>
      <c r="K1012" s="52"/>
      <c r="L1012" s="52"/>
      <c r="M1012" s="52"/>
      <c r="N1012" s="52"/>
      <c r="O1012" s="52"/>
      <c r="P1012" s="52"/>
      <c r="Q1012" s="52"/>
      <c r="R1012" s="52"/>
      <c r="S1012" s="52"/>
      <c r="T1012" s="52"/>
      <c r="U1012" s="52"/>
      <c r="V1012" s="52"/>
      <c r="W1012" s="52"/>
      <c r="X1012" s="52"/>
      <c r="Y1012" s="52"/>
      <c r="Z1012" s="52"/>
    </row>
    <row r="1013" spans="1:26" ht="15.75" customHeight="1">
      <c r="A1013" s="52"/>
      <c r="B1013" s="52"/>
      <c r="C1013" s="52"/>
      <c r="D1013" s="52"/>
      <c r="E1013" s="52"/>
      <c r="F1013" s="71"/>
      <c r="G1013" s="52"/>
      <c r="H1013" s="52"/>
      <c r="I1013" s="52"/>
      <c r="J1013" s="52"/>
      <c r="K1013" s="52"/>
      <c r="L1013" s="52"/>
      <c r="M1013" s="52"/>
      <c r="N1013" s="52"/>
      <c r="O1013" s="52"/>
      <c r="P1013" s="52"/>
      <c r="Q1013" s="52"/>
      <c r="R1013" s="52"/>
      <c r="S1013" s="52"/>
      <c r="T1013" s="52"/>
      <c r="U1013" s="52"/>
      <c r="V1013" s="52"/>
      <c r="W1013" s="52"/>
      <c r="X1013" s="52"/>
      <c r="Y1013" s="52"/>
      <c r="Z1013" s="52"/>
    </row>
    <row r="1014" spans="1:26" ht="15.75" customHeight="1">
      <c r="A1014" s="52"/>
      <c r="B1014" s="52"/>
      <c r="C1014" s="52"/>
      <c r="D1014" s="52"/>
      <c r="E1014" s="52"/>
      <c r="F1014" s="71"/>
      <c r="G1014" s="52"/>
      <c r="H1014" s="52"/>
      <c r="I1014" s="52"/>
      <c r="J1014" s="52"/>
      <c r="K1014" s="52"/>
      <c r="L1014" s="52"/>
      <c r="M1014" s="52"/>
      <c r="N1014" s="52"/>
      <c r="O1014" s="52"/>
      <c r="P1014" s="52"/>
      <c r="Q1014" s="52"/>
      <c r="R1014" s="52"/>
      <c r="S1014" s="52"/>
      <c r="T1014" s="52"/>
      <c r="U1014" s="52"/>
      <c r="V1014" s="52"/>
      <c r="W1014" s="52"/>
      <c r="X1014" s="52"/>
      <c r="Y1014" s="52"/>
      <c r="Z1014" s="52"/>
    </row>
    <row r="1015" spans="1:26" ht="15.75" customHeight="1">
      <c r="A1015" s="52"/>
      <c r="B1015" s="52"/>
      <c r="C1015" s="52"/>
      <c r="D1015" s="52"/>
      <c r="E1015" s="52"/>
      <c r="F1015" s="71"/>
      <c r="G1015" s="52"/>
      <c r="H1015" s="52"/>
      <c r="I1015" s="52"/>
      <c r="J1015" s="52"/>
      <c r="K1015" s="52"/>
      <c r="L1015" s="52"/>
      <c r="M1015" s="52"/>
      <c r="N1015" s="52"/>
      <c r="O1015" s="52"/>
      <c r="P1015" s="52"/>
      <c r="Q1015" s="52"/>
      <c r="R1015" s="52"/>
      <c r="S1015" s="52"/>
      <c r="T1015" s="52"/>
      <c r="U1015" s="52"/>
      <c r="V1015" s="52"/>
      <c r="W1015" s="52"/>
      <c r="X1015" s="52"/>
      <c r="Y1015" s="52"/>
      <c r="Z1015" s="52"/>
    </row>
    <row r="1016" spans="1:26" ht="15.75" customHeight="1">
      <c r="A1016" s="52"/>
      <c r="B1016" s="52"/>
      <c r="C1016" s="52"/>
      <c r="D1016" s="52"/>
      <c r="E1016" s="52"/>
      <c r="F1016" s="71"/>
      <c r="G1016" s="52"/>
      <c r="H1016" s="52"/>
      <c r="I1016" s="52"/>
      <c r="J1016" s="52"/>
      <c r="K1016" s="52"/>
      <c r="L1016" s="52"/>
      <c r="M1016" s="52"/>
      <c r="N1016" s="52"/>
      <c r="O1016" s="52"/>
      <c r="P1016" s="52"/>
      <c r="Q1016" s="52"/>
      <c r="R1016" s="52"/>
      <c r="S1016" s="52"/>
      <c r="T1016" s="52"/>
      <c r="U1016" s="52"/>
      <c r="V1016" s="52"/>
      <c r="W1016" s="52"/>
      <c r="X1016" s="52"/>
      <c r="Y1016" s="52"/>
      <c r="Z1016" s="52"/>
    </row>
    <row r="1017" spans="1:26" ht="15.75" customHeight="1">
      <c r="A1017" s="52"/>
      <c r="B1017" s="52"/>
      <c r="C1017" s="52"/>
      <c r="D1017" s="52"/>
      <c r="E1017" s="52"/>
      <c r="F1017" s="71"/>
      <c r="G1017" s="52"/>
      <c r="H1017" s="52"/>
      <c r="I1017" s="52"/>
      <c r="J1017" s="52"/>
      <c r="K1017" s="52"/>
      <c r="L1017" s="52"/>
      <c r="M1017" s="52"/>
      <c r="N1017" s="52"/>
      <c r="O1017" s="52"/>
      <c r="P1017" s="52"/>
      <c r="Q1017" s="52"/>
      <c r="R1017" s="52"/>
      <c r="S1017" s="52"/>
      <c r="T1017" s="52"/>
      <c r="U1017" s="52"/>
      <c r="V1017" s="52"/>
      <c r="W1017" s="52"/>
      <c r="X1017" s="52"/>
      <c r="Y1017" s="52"/>
      <c r="Z1017" s="52"/>
    </row>
    <row r="1018" spans="1:26" ht="15.75" customHeight="1">
      <c r="A1018" s="52"/>
      <c r="B1018" s="52"/>
      <c r="C1018" s="52"/>
      <c r="D1018" s="52"/>
      <c r="E1018" s="52"/>
      <c r="F1018" s="71"/>
      <c r="G1018" s="52"/>
      <c r="H1018" s="52"/>
      <c r="I1018" s="52"/>
      <c r="J1018" s="52"/>
      <c r="K1018" s="52"/>
      <c r="L1018" s="52"/>
      <c r="M1018" s="52"/>
      <c r="N1018" s="52"/>
      <c r="O1018" s="52"/>
      <c r="P1018" s="52"/>
      <c r="Q1018" s="52"/>
      <c r="R1018" s="52"/>
      <c r="S1018" s="52"/>
      <c r="T1018" s="52"/>
      <c r="U1018" s="52"/>
      <c r="V1018" s="52"/>
      <c r="W1018" s="52"/>
      <c r="X1018" s="52"/>
      <c r="Y1018" s="52"/>
      <c r="Z1018" s="52"/>
    </row>
    <row r="1019" spans="1:26" ht="15.75" customHeight="1">
      <c r="A1019" s="52"/>
      <c r="B1019" s="52"/>
      <c r="C1019" s="52"/>
      <c r="D1019" s="52"/>
      <c r="E1019" s="52"/>
      <c r="F1019" s="71"/>
      <c r="G1019" s="52"/>
      <c r="H1019" s="52"/>
      <c r="I1019" s="52"/>
      <c r="J1019" s="52"/>
      <c r="K1019" s="52"/>
      <c r="L1019" s="52"/>
      <c r="M1019" s="52"/>
      <c r="N1019" s="52"/>
      <c r="O1019" s="52"/>
      <c r="P1019" s="52"/>
      <c r="Q1019" s="52"/>
      <c r="R1019" s="52"/>
      <c r="S1019" s="52"/>
      <c r="T1019" s="52"/>
      <c r="U1019" s="52"/>
      <c r="V1019" s="52"/>
      <c r="W1019" s="52"/>
      <c r="X1019" s="52"/>
      <c r="Y1019" s="52"/>
      <c r="Z1019" s="52"/>
    </row>
    <row r="1020" spans="1:26" ht="15.75" customHeight="1">
      <c r="A1020" s="52"/>
      <c r="B1020" s="52"/>
      <c r="C1020" s="52"/>
      <c r="D1020" s="52"/>
      <c r="E1020" s="52"/>
      <c r="F1020" s="71"/>
      <c r="G1020" s="52"/>
      <c r="H1020" s="52"/>
      <c r="I1020" s="52"/>
      <c r="J1020" s="52"/>
      <c r="K1020" s="52"/>
      <c r="L1020" s="52"/>
      <c r="M1020" s="52"/>
      <c r="N1020" s="52"/>
      <c r="O1020" s="52"/>
      <c r="P1020" s="52"/>
      <c r="Q1020" s="52"/>
      <c r="R1020" s="52"/>
      <c r="S1020" s="52"/>
      <c r="T1020" s="52"/>
      <c r="U1020" s="52"/>
      <c r="V1020" s="52"/>
      <c r="W1020" s="52"/>
      <c r="X1020" s="52"/>
      <c r="Y1020" s="52"/>
      <c r="Z1020" s="52"/>
    </row>
    <row r="1021" spans="1:26" ht="15.75" customHeight="1">
      <c r="A1021" s="52"/>
      <c r="B1021" s="52"/>
      <c r="C1021" s="52"/>
      <c r="D1021" s="52"/>
      <c r="E1021" s="52"/>
      <c r="F1021" s="71"/>
      <c r="G1021" s="52"/>
      <c r="H1021" s="52"/>
      <c r="I1021" s="52"/>
      <c r="J1021" s="52"/>
      <c r="K1021" s="52"/>
      <c r="L1021" s="52"/>
      <c r="M1021" s="52"/>
      <c r="N1021" s="52"/>
      <c r="O1021" s="52"/>
      <c r="P1021" s="52"/>
      <c r="Q1021" s="52"/>
      <c r="R1021" s="52"/>
      <c r="S1021" s="52"/>
      <c r="T1021" s="52"/>
      <c r="U1021" s="52"/>
      <c r="V1021" s="52"/>
      <c r="W1021" s="52"/>
      <c r="X1021" s="52"/>
      <c r="Y1021" s="52"/>
      <c r="Z1021" s="52"/>
    </row>
    <row r="1022" spans="1:26" ht="15.75" customHeight="1">
      <c r="A1022" s="52"/>
      <c r="B1022" s="52"/>
      <c r="C1022" s="52"/>
      <c r="D1022" s="52"/>
      <c r="E1022" s="52"/>
      <c r="F1022" s="71"/>
      <c r="G1022" s="52"/>
      <c r="H1022" s="52"/>
      <c r="I1022" s="52"/>
      <c r="J1022" s="52"/>
      <c r="K1022" s="52"/>
      <c r="L1022" s="52"/>
      <c r="M1022" s="52"/>
      <c r="N1022" s="52"/>
      <c r="O1022" s="52"/>
      <c r="P1022" s="52"/>
      <c r="Q1022" s="52"/>
      <c r="R1022" s="52"/>
      <c r="S1022" s="52"/>
      <c r="T1022" s="52"/>
      <c r="U1022" s="52"/>
      <c r="V1022" s="52"/>
      <c r="W1022" s="52"/>
      <c r="X1022" s="52"/>
      <c r="Y1022" s="52"/>
      <c r="Z1022" s="52"/>
    </row>
    <row r="1023" spans="1:26" ht="15.75" customHeight="1">
      <c r="A1023" s="52"/>
      <c r="B1023" s="52"/>
      <c r="C1023" s="52"/>
      <c r="D1023" s="52"/>
      <c r="E1023" s="52"/>
      <c r="F1023" s="71"/>
      <c r="G1023" s="52"/>
      <c r="H1023" s="52"/>
      <c r="I1023" s="52"/>
      <c r="J1023" s="52"/>
      <c r="K1023" s="52"/>
      <c r="L1023" s="52"/>
      <c r="M1023" s="52"/>
      <c r="N1023" s="52"/>
      <c r="O1023" s="52"/>
      <c r="P1023" s="52"/>
      <c r="Q1023" s="52"/>
      <c r="R1023" s="52"/>
      <c r="S1023" s="52"/>
      <c r="T1023" s="52"/>
      <c r="U1023" s="52"/>
      <c r="V1023" s="52"/>
      <c r="W1023" s="52"/>
      <c r="X1023" s="52"/>
      <c r="Y1023" s="52"/>
      <c r="Z1023" s="52"/>
    </row>
    <row r="1024" spans="1:26" ht="15.75" customHeight="1">
      <c r="A1024" s="52"/>
      <c r="B1024" s="52"/>
      <c r="C1024" s="52"/>
      <c r="D1024" s="52"/>
      <c r="E1024" s="52"/>
      <c r="F1024" s="71"/>
      <c r="G1024" s="52"/>
      <c r="H1024" s="52"/>
      <c r="I1024" s="52"/>
      <c r="J1024" s="52"/>
      <c r="K1024" s="52"/>
      <c r="L1024" s="52"/>
      <c r="M1024" s="52"/>
      <c r="N1024" s="52"/>
      <c r="O1024" s="52"/>
      <c r="P1024" s="52"/>
      <c r="Q1024" s="52"/>
      <c r="R1024" s="52"/>
      <c r="S1024" s="52"/>
      <c r="T1024" s="52"/>
      <c r="U1024" s="52"/>
      <c r="V1024" s="52"/>
      <c r="W1024" s="52"/>
      <c r="X1024" s="52"/>
      <c r="Y1024" s="52"/>
      <c r="Z1024" s="52"/>
    </row>
    <row r="1025" spans="1:26" ht="15.75" customHeight="1">
      <c r="A1025" s="52"/>
      <c r="B1025" s="52"/>
      <c r="C1025" s="52"/>
      <c r="D1025" s="52"/>
      <c r="E1025" s="52"/>
      <c r="F1025" s="71"/>
      <c r="G1025" s="52"/>
      <c r="H1025" s="52"/>
      <c r="I1025" s="52"/>
      <c r="J1025" s="52"/>
      <c r="K1025" s="52"/>
      <c r="L1025" s="52"/>
      <c r="M1025" s="52"/>
      <c r="N1025" s="52"/>
      <c r="O1025" s="52"/>
      <c r="P1025" s="52"/>
      <c r="Q1025" s="52"/>
      <c r="R1025" s="52"/>
      <c r="S1025" s="52"/>
      <c r="T1025" s="52"/>
      <c r="U1025" s="52"/>
      <c r="V1025" s="52"/>
      <c r="W1025" s="52"/>
      <c r="X1025" s="52"/>
      <c r="Y1025" s="52"/>
      <c r="Z1025" s="52"/>
    </row>
    <row r="1026" spans="1:26" ht="15.75" customHeight="1">
      <c r="A1026" s="52"/>
      <c r="B1026" s="52"/>
      <c r="C1026" s="52"/>
      <c r="D1026" s="52"/>
      <c r="E1026" s="52"/>
      <c r="F1026" s="71"/>
      <c r="G1026" s="52"/>
      <c r="H1026" s="52"/>
      <c r="I1026" s="52"/>
      <c r="J1026" s="52"/>
      <c r="K1026" s="52"/>
      <c r="L1026" s="52"/>
      <c r="M1026" s="52"/>
      <c r="N1026" s="52"/>
      <c r="O1026" s="52"/>
      <c r="P1026" s="52"/>
      <c r="Q1026" s="52"/>
      <c r="R1026" s="52"/>
      <c r="S1026" s="52"/>
      <c r="T1026" s="52"/>
      <c r="U1026" s="52"/>
      <c r="V1026" s="52"/>
      <c r="W1026" s="52"/>
      <c r="X1026" s="52"/>
      <c r="Y1026" s="52"/>
      <c r="Z1026" s="52"/>
    </row>
    <row r="1027" spans="1:26" ht="15.75" customHeight="1">
      <c r="A1027" s="52"/>
      <c r="B1027" s="52"/>
      <c r="C1027" s="52"/>
      <c r="D1027" s="52"/>
      <c r="E1027" s="52"/>
      <c r="F1027" s="71"/>
      <c r="G1027" s="52"/>
      <c r="H1027" s="52"/>
      <c r="I1027" s="52"/>
      <c r="J1027" s="52"/>
      <c r="K1027" s="52"/>
      <c r="L1027" s="52"/>
      <c r="M1027" s="52"/>
      <c r="N1027" s="52"/>
      <c r="O1027" s="52"/>
      <c r="P1027" s="52"/>
      <c r="Q1027" s="52"/>
      <c r="R1027" s="52"/>
      <c r="S1027" s="52"/>
      <c r="T1027" s="52"/>
      <c r="U1027" s="52"/>
      <c r="V1027" s="52"/>
      <c r="W1027" s="52"/>
      <c r="X1027" s="52"/>
      <c r="Y1027" s="52"/>
      <c r="Z1027" s="52"/>
    </row>
    <row r="1028" spans="1:26" ht="15.75" customHeight="1">
      <c r="A1028" s="52"/>
      <c r="B1028" s="52"/>
      <c r="C1028" s="52"/>
      <c r="D1028" s="52"/>
      <c r="E1028" s="52"/>
      <c r="F1028" s="71"/>
      <c r="G1028" s="52"/>
      <c r="H1028" s="52"/>
      <c r="I1028" s="52"/>
      <c r="J1028" s="52"/>
      <c r="K1028" s="52"/>
      <c r="L1028" s="52"/>
      <c r="M1028" s="52"/>
      <c r="N1028" s="52"/>
      <c r="O1028" s="52"/>
      <c r="P1028" s="52"/>
      <c r="Q1028" s="52"/>
      <c r="R1028" s="52"/>
      <c r="S1028" s="52"/>
      <c r="T1028" s="52"/>
      <c r="U1028" s="52"/>
      <c r="V1028" s="52"/>
      <c r="W1028" s="52"/>
      <c r="X1028" s="52"/>
      <c r="Y1028" s="52"/>
      <c r="Z1028" s="52"/>
    </row>
    <row r="1029" spans="1:26" ht="15.75" customHeight="1">
      <c r="A1029" s="52"/>
      <c r="B1029" s="52"/>
      <c r="C1029" s="52"/>
      <c r="D1029" s="52"/>
      <c r="E1029" s="52"/>
      <c r="F1029" s="71"/>
      <c r="G1029" s="52"/>
      <c r="H1029" s="52"/>
      <c r="I1029" s="52"/>
      <c r="J1029" s="52"/>
      <c r="K1029" s="52"/>
      <c r="L1029" s="52"/>
      <c r="M1029" s="52"/>
      <c r="N1029" s="52"/>
      <c r="O1029" s="52"/>
      <c r="P1029" s="52"/>
      <c r="Q1029" s="52"/>
      <c r="R1029" s="52"/>
      <c r="S1029" s="52"/>
      <c r="T1029" s="52"/>
      <c r="U1029" s="52"/>
      <c r="V1029" s="52"/>
      <c r="W1029" s="52"/>
      <c r="X1029" s="52"/>
      <c r="Y1029" s="52"/>
      <c r="Z1029" s="52"/>
    </row>
    <row r="1030" spans="1:26" ht="15.75" customHeight="1">
      <c r="A1030" s="52"/>
      <c r="B1030" s="52"/>
      <c r="C1030" s="52"/>
      <c r="D1030" s="52"/>
      <c r="E1030" s="52"/>
      <c r="F1030" s="71"/>
      <c r="G1030" s="52"/>
      <c r="H1030" s="52"/>
      <c r="I1030" s="52"/>
      <c r="J1030" s="52"/>
      <c r="K1030" s="52"/>
      <c r="L1030" s="52"/>
      <c r="M1030" s="52"/>
      <c r="N1030" s="52"/>
      <c r="O1030" s="52"/>
      <c r="P1030" s="52"/>
      <c r="Q1030" s="52"/>
      <c r="R1030" s="52"/>
      <c r="S1030" s="52"/>
      <c r="T1030" s="52"/>
      <c r="U1030" s="52"/>
      <c r="V1030" s="52"/>
      <c r="W1030" s="52"/>
      <c r="X1030" s="52"/>
      <c r="Y1030" s="52"/>
      <c r="Z1030" s="52"/>
    </row>
    <row r="1031" spans="1:26" ht="15.75" customHeight="1">
      <c r="A1031" s="52"/>
      <c r="B1031" s="52"/>
      <c r="C1031" s="52"/>
      <c r="D1031" s="52"/>
      <c r="E1031" s="52"/>
      <c r="F1031" s="71"/>
      <c r="G1031" s="52"/>
      <c r="H1031" s="52"/>
      <c r="I1031" s="52"/>
      <c r="J1031" s="52"/>
      <c r="K1031" s="52"/>
      <c r="L1031" s="52"/>
      <c r="M1031" s="52"/>
      <c r="N1031" s="52"/>
      <c r="O1031" s="52"/>
      <c r="P1031" s="52"/>
      <c r="Q1031" s="52"/>
      <c r="R1031" s="52"/>
      <c r="S1031" s="52"/>
      <c r="T1031" s="52"/>
      <c r="U1031" s="52"/>
      <c r="V1031" s="52"/>
      <c r="W1031" s="52"/>
      <c r="X1031" s="52"/>
      <c r="Y1031" s="52"/>
      <c r="Z1031" s="52"/>
    </row>
    <row r="1032" spans="1:26" ht="15.75" customHeight="1">
      <c r="A1032" s="52"/>
      <c r="B1032" s="52"/>
      <c r="C1032" s="52"/>
      <c r="D1032" s="52"/>
      <c r="E1032" s="52"/>
      <c r="F1032" s="71"/>
      <c r="G1032" s="52"/>
      <c r="H1032" s="52"/>
      <c r="I1032" s="52"/>
      <c r="J1032" s="52"/>
      <c r="K1032" s="52"/>
      <c r="L1032" s="52"/>
      <c r="M1032" s="52"/>
      <c r="N1032" s="52"/>
      <c r="O1032" s="52"/>
      <c r="P1032" s="52"/>
      <c r="Q1032" s="52"/>
      <c r="R1032" s="52"/>
      <c r="S1032" s="52"/>
      <c r="T1032" s="52"/>
      <c r="U1032" s="52"/>
      <c r="V1032" s="52"/>
      <c r="W1032" s="52"/>
      <c r="X1032" s="52"/>
      <c r="Y1032" s="52"/>
      <c r="Z1032" s="52"/>
    </row>
    <row r="1033" spans="1:26" ht="15.75" customHeight="1">
      <c r="A1033" s="52"/>
      <c r="B1033" s="52"/>
      <c r="C1033" s="52"/>
      <c r="D1033" s="52"/>
      <c r="E1033" s="52"/>
      <c r="F1033" s="71"/>
      <c r="G1033" s="52"/>
      <c r="H1033" s="52"/>
      <c r="I1033" s="52"/>
      <c r="J1033" s="52"/>
      <c r="K1033" s="52"/>
      <c r="L1033" s="52"/>
      <c r="M1033" s="52"/>
      <c r="N1033" s="52"/>
      <c r="O1033" s="52"/>
      <c r="P1033" s="52"/>
      <c r="Q1033" s="52"/>
      <c r="R1033" s="52"/>
      <c r="S1033" s="52"/>
      <c r="T1033" s="52"/>
      <c r="U1033" s="52"/>
      <c r="V1033" s="52"/>
      <c r="W1033" s="52"/>
      <c r="X1033" s="52"/>
      <c r="Y1033" s="52"/>
      <c r="Z1033" s="52"/>
    </row>
    <row r="1034" spans="1:26" ht="15.75" customHeight="1">
      <c r="A1034" s="52"/>
      <c r="B1034" s="52"/>
      <c r="C1034" s="52"/>
      <c r="D1034" s="52"/>
      <c r="E1034" s="52"/>
      <c r="F1034" s="71"/>
      <c r="G1034" s="52"/>
      <c r="H1034" s="52"/>
      <c r="I1034" s="52"/>
      <c r="J1034" s="52"/>
      <c r="K1034" s="52"/>
      <c r="L1034" s="52"/>
      <c r="M1034" s="52"/>
      <c r="N1034" s="52"/>
      <c r="O1034" s="52"/>
      <c r="P1034" s="52"/>
      <c r="Q1034" s="52"/>
      <c r="R1034" s="52"/>
      <c r="S1034" s="52"/>
      <c r="T1034" s="52"/>
      <c r="U1034" s="52"/>
      <c r="V1034" s="52"/>
      <c r="W1034" s="52"/>
      <c r="X1034" s="52"/>
      <c r="Y1034" s="52"/>
      <c r="Z1034" s="52"/>
    </row>
    <row r="1035" spans="1:26" ht="15.75" customHeight="1">
      <c r="A1035" s="52"/>
      <c r="B1035" s="52"/>
      <c r="C1035" s="52"/>
      <c r="D1035" s="52"/>
      <c r="E1035" s="52"/>
      <c r="F1035" s="71"/>
      <c r="G1035" s="52"/>
      <c r="H1035" s="52"/>
      <c r="I1035" s="52"/>
      <c r="J1035" s="52"/>
      <c r="K1035" s="52"/>
      <c r="L1035" s="52"/>
      <c r="M1035" s="52"/>
      <c r="N1035" s="52"/>
      <c r="O1035" s="52"/>
      <c r="P1035" s="52"/>
      <c r="Q1035" s="52"/>
      <c r="R1035" s="52"/>
      <c r="S1035" s="52"/>
      <c r="T1035" s="52"/>
      <c r="U1035" s="52"/>
      <c r="V1035" s="52"/>
      <c r="W1035" s="52"/>
      <c r="X1035" s="52"/>
      <c r="Y1035" s="52"/>
      <c r="Z1035" s="52"/>
    </row>
    <row r="1036" spans="1:26" ht="15.75" customHeight="1">
      <c r="A1036" s="52"/>
      <c r="B1036" s="52"/>
      <c r="C1036" s="52"/>
      <c r="D1036" s="52"/>
      <c r="E1036" s="52"/>
      <c r="F1036" s="71"/>
      <c r="G1036" s="52"/>
      <c r="H1036" s="52"/>
      <c r="I1036" s="52"/>
      <c r="J1036" s="52"/>
      <c r="K1036" s="52"/>
      <c r="L1036" s="52"/>
      <c r="M1036" s="52"/>
      <c r="N1036" s="52"/>
      <c r="O1036" s="52"/>
      <c r="P1036" s="52"/>
      <c r="Q1036" s="52"/>
      <c r="R1036" s="52"/>
      <c r="S1036" s="52"/>
      <c r="T1036" s="52"/>
      <c r="U1036" s="52"/>
      <c r="V1036" s="52"/>
      <c r="W1036" s="52"/>
      <c r="X1036" s="52"/>
      <c r="Y1036" s="52"/>
      <c r="Z1036" s="52"/>
    </row>
    <row r="1037" spans="1:26" ht="15.75" customHeight="1">
      <c r="A1037" s="52"/>
      <c r="B1037" s="52"/>
      <c r="C1037" s="52"/>
      <c r="D1037" s="52"/>
      <c r="E1037" s="52"/>
      <c r="F1037" s="71"/>
      <c r="G1037" s="52"/>
      <c r="H1037" s="52"/>
      <c r="I1037" s="52"/>
      <c r="J1037" s="52"/>
      <c r="K1037" s="52"/>
      <c r="L1037" s="52"/>
      <c r="M1037" s="52"/>
      <c r="N1037" s="52"/>
      <c r="O1037" s="52"/>
      <c r="P1037" s="52"/>
      <c r="Q1037" s="52"/>
      <c r="R1037" s="52"/>
      <c r="S1037" s="52"/>
      <c r="T1037" s="52"/>
      <c r="U1037" s="52"/>
      <c r="V1037" s="52"/>
      <c r="W1037" s="52"/>
      <c r="X1037" s="52"/>
      <c r="Y1037" s="52"/>
      <c r="Z1037" s="52"/>
    </row>
    <row r="1038" spans="1:26" ht="15.75" customHeight="1">
      <c r="A1038" s="52"/>
      <c r="B1038" s="52"/>
      <c r="C1038" s="52"/>
      <c r="D1038" s="52"/>
      <c r="E1038" s="52"/>
      <c r="F1038" s="71"/>
      <c r="G1038" s="52"/>
      <c r="H1038" s="52"/>
      <c r="I1038" s="52"/>
      <c r="J1038" s="52"/>
      <c r="K1038" s="52"/>
      <c r="L1038" s="52"/>
      <c r="M1038" s="52"/>
      <c r="N1038" s="52"/>
      <c r="O1038" s="52"/>
      <c r="P1038" s="52"/>
      <c r="Q1038" s="52"/>
      <c r="R1038" s="52"/>
      <c r="S1038" s="52"/>
      <c r="T1038" s="52"/>
      <c r="U1038" s="52"/>
      <c r="V1038" s="52"/>
      <c r="W1038" s="52"/>
      <c r="X1038" s="52"/>
      <c r="Y1038" s="52"/>
      <c r="Z1038" s="52"/>
    </row>
    <row r="1039" spans="1:26" ht="15.75" customHeight="1">
      <c r="A1039" s="52"/>
      <c r="B1039" s="52"/>
      <c r="C1039" s="52"/>
      <c r="D1039" s="52"/>
      <c r="E1039" s="52"/>
      <c r="F1039" s="71"/>
      <c r="G1039" s="52"/>
      <c r="H1039" s="52"/>
      <c r="I1039" s="52"/>
      <c r="J1039" s="52"/>
      <c r="K1039" s="52"/>
      <c r="L1039" s="52"/>
      <c r="M1039" s="52"/>
      <c r="N1039" s="52"/>
      <c r="O1039" s="52"/>
      <c r="P1039" s="52"/>
      <c r="Q1039" s="52"/>
      <c r="R1039" s="52"/>
      <c r="S1039" s="52"/>
      <c r="T1039" s="52"/>
      <c r="U1039" s="52"/>
      <c r="V1039" s="52"/>
      <c r="W1039" s="52"/>
      <c r="X1039" s="52"/>
      <c r="Y1039" s="52"/>
      <c r="Z1039" s="52"/>
    </row>
    <row r="1040" spans="1:26" ht="15.75" customHeight="1">
      <c r="A1040" s="52"/>
      <c r="B1040" s="52"/>
      <c r="C1040" s="52"/>
      <c r="D1040" s="52"/>
      <c r="E1040" s="52"/>
      <c r="F1040" s="71"/>
      <c r="G1040" s="52"/>
      <c r="H1040" s="52"/>
      <c r="I1040" s="52"/>
      <c r="J1040" s="52"/>
      <c r="K1040" s="52"/>
      <c r="L1040" s="52"/>
      <c r="M1040" s="52"/>
      <c r="N1040" s="52"/>
      <c r="O1040" s="52"/>
      <c r="P1040" s="52"/>
      <c r="Q1040" s="52"/>
      <c r="R1040" s="52"/>
      <c r="S1040" s="52"/>
      <c r="T1040" s="52"/>
      <c r="U1040" s="52"/>
      <c r="V1040" s="52"/>
      <c r="W1040" s="52"/>
      <c r="X1040" s="52"/>
      <c r="Y1040" s="52"/>
      <c r="Z1040" s="52"/>
    </row>
    <row r="1041" spans="1:26" ht="15.75" customHeight="1">
      <c r="A1041" s="52"/>
      <c r="B1041" s="52"/>
      <c r="C1041" s="52"/>
      <c r="D1041" s="52"/>
      <c r="E1041" s="52"/>
      <c r="F1041" s="71"/>
      <c r="G1041" s="52"/>
      <c r="H1041" s="52"/>
      <c r="I1041" s="52"/>
      <c r="J1041" s="52"/>
      <c r="K1041" s="52"/>
      <c r="L1041" s="52"/>
      <c r="M1041" s="52"/>
      <c r="N1041" s="52"/>
      <c r="O1041" s="52"/>
      <c r="P1041" s="52"/>
      <c r="Q1041" s="52"/>
      <c r="R1041" s="52"/>
      <c r="S1041" s="52"/>
      <c r="T1041" s="52"/>
      <c r="U1041" s="52"/>
      <c r="V1041" s="52"/>
      <c r="W1041" s="52"/>
      <c r="X1041" s="52"/>
      <c r="Y1041" s="52"/>
      <c r="Z1041" s="52"/>
    </row>
    <row r="1042" spans="1:26" ht="15.75" customHeight="1">
      <c r="A1042" s="52"/>
      <c r="B1042" s="52"/>
      <c r="C1042" s="52"/>
      <c r="D1042" s="52"/>
      <c r="E1042" s="52"/>
      <c r="F1042" s="71"/>
      <c r="G1042" s="52"/>
      <c r="H1042" s="52"/>
      <c r="I1042" s="52"/>
      <c r="J1042" s="52"/>
      <c r="K1042" s="52"/>
      <c r="L1042" s="52"/>
      <c r="M1042" s="52"/>
      <c r="N1042" s="52"/>
      <c r="O1042" s="52"/>
      <c r="P1042" s="52"/>
      <c r="Q1042" s="52"/>
      <c r="R1042" s="52"/>
      <c r="S1042" s="52"/>
      <c r="T1042" s="52"/>
      <c r="U1042" s="52"/>
      <c r="V1042" s="52"/>
      <c r="W1042" s="52"/>
      <c r="X1042" s="52"/>
      <c r="Y1042" s="52"/>
      <c r="Z1042" s="52"/>
    </row>
    <row r="1043" spans="1:26" ht="15.75" customHeight="1">
      <c r="A1043" s="52"/>
      <c r="B1043" s="52"/>
      <c r="C1043" s="52"/>
      <c r="D1043" s="52"/>
      <c r="E1043" s="52"/>
      <c r="F1043" s="71"/>
      <c r="G1043" s="52"/>
      <c r="H1043" s="52"/>
      <c r="I1043" s="52"/>
      <c r="J1043" s="52"/>
      <c r="K1043" s="52"/>
      <c r="L1043" s="52"/>
      <c r="M1043" s="52"/>
      <c r="N1043" s="52"/>
      <c r="O1043" s="52"/>
      <c r="P1043" s="52"/>
      <c r="Q1043" s="52"/>
      <c r="R1043" s="52"/>
      <c r="S1043" s="52"/>
      <c r="T1043" s="52"/>
      <c r="U1043" s="52"/>
      <c r="V1043" s="52"/>
      <c r="W1043" s="52"/>
      <c r="X1043" s="52"/>
      <c r="Y1043" s="52"/>
      <c r="Z1043" s="52"/>
    </row>
    <row r="1044" spans="1:26" ht="15.75" customHeight="1">
      <c r="A1044" s="52"/>
      <c r="B1044" s="52"/>
      <c r="C1044" s="52"/>
      <c r="D1044" s="52"/>
      <c r="E1044" s="52"/>
      <c r="F1044" s="71"/>
      <c r="G1044" s="52"/>
      <c r="H1044" s="52"/>
      <c r="I1044" s="52"/>
      <c r="J1044" s="52"/>
      <c r="K1044" s="52"/>
      <c r="L1044" s="52"/>
      <c r="M1044" s="52"/>
      <c r="N1044" s="52"/>
      <c r="O1044" s="52"/>
      <c r="P1044" s="52"/>
      <c r="Q1044" s="52"/>
      <c r="R1044" s="52"/>
      <c r="S1044" s="52"/>
      <c r="T1044" s="52"/>
      <c r="U1044" s="52"/>
      <c r="V1044" s="52"/>
      <c r="W1044" s="52"/>
      <c r="X1044" s="52"/>
      <c r="Y1044" s="52"/>
      <c r="Z1044" s="52"/>
    </row>
    <row r="1045" spans="1:26" ht="15.75" customHeight="1">
      <c r="A1045" s="52"/>
      <c r="B1045" s="52"/>
      <c r="C1045" s="52"/>
      <c r="D1045" s="52"/>
      <c r="E1045" s="52"/>
      <c r="F1045" s="71"/>
      <c r="G1045" s="52"/>
      <c r="H1045" s="52"/>
      <c r="I1045" s="52"/>
      <c r="J1045" s="52"/>
      <c r="K1045" s="52"/>
      <c r="L1045" s="52"/>
      <c r="M1045" s="52"/>
      <c r="N1045" s="52"/>
      <c r="O1045" s="52"/>
      <c r="P1045" s="52"/>
      <c r="Q1045" s="52"/>
      <c r="R1045" s="52"/>
      <c r="S1045" s="52"/>
      <c r="T1045" s="52"/>
      <c r="U1045" s="52"/>
      <c r="V1045" s="52"/>
      <c r="W1045" s="52"/>
      <c r="X1045" s="52"/>
      <c r="Y1045" s="52"/>
      <c r="Z1045" s="52"/>
    </row>
    <row r="1046" spans="1:26" ht="15.75" customHeight="1">
      <c r="A1046" s="52"/>
      <c r="B1046" s="52"/>
      <c r="C1046" s="52"/>
      <c r="D1046" s="52"/>
      <c r="E1046" s="52"/>
      <c r="F1046" s="71"/>
      <c r="G1046" s="52"/>
      <c r="H1046" s="52"/>
      <c r="I1046" s="52"/>
      <c r="J1046" s="52"/>
      <c r="K1046" s="52"/>
      <c r="L1046" s="52"/>
      <c r="M1046" s="52"/>
      <c r="N1046" s="52"/>
      <c r="O1046" s="52"/>
      <c r="P1046" s="52"/>
      <c r="Q1046" s="52"/>
      <c r="R1046" s="52"/>
      <c r="S1046" s="52"/>
      <c r="T1046" s="52"/>
      <c r="U1046" s="52"/>
      <c r="V1046" s="52"/>
      <c r="W1046" s="52"/>
      <c r="X1046" s="52"/>
      <c r="Y1046" s="52"/>
      <c r="Z1046" s="52"/>
    </row>
    <row r="1047" spans="1:26" ht="15.75" customHeight="1">
      <c r="A1047" s="52"/>
      <c r="B1047" s="52"/>
      <c r="C1047" s="52"/>
      <c r="D1047" s="52"/>
      <c r="E1047" s="52"/>
      <c r="F1047" s="71"/>
      <c r="G1047" s="52"/>
      <c r="H1047" s="52"/>
      <c r="I1047" s="52"/>
      <c r="J1047" s="52"/>
      <c r="K1047" s="52"/>
      <c r="L1047" s="52"/>
      <c r="M1047" s="52"/>
      <c r="N1047" s="52"/>
      <c r="O1047" s="52"/>
      <c r="P1047" s="52"/>
      <c r="Q1047" s="52"/>
      <c r="R1047" s="52"/>
      <c r="S1047" s="52"/>
      <c r="T1047" s="52"/>
      <c r="U1047" s="52"/>
      <c r="V1047" s="52"/>
      <c r="W1047" s="52"/>
      <c r="X1047" s="52"/>
      <c r="Y1047" s="52"/>
      <c r="Z1047" s="52"/>
    </row>
    <row r="1048" spans="1:26" ht="15.75" customHeight="1">
      <c r="A1048" s="52"/>
      <c r="B1048" s="52"/>
      <c r="C1048" s="52"/>
      <c r="D1048" s="52"/>
      <c r="E1048" s="52"/>
      <c r="F1048" s="71"/>
      <c r="G1048" s="52"/>
      <c r="H1048" s="52"/>
      <c r="I1048" s="52"/>
      <c r="J1048" s="52"/>
      <c r="K1048" s="52"/>
      <c r="L1048" s="52"/>
      <c r="M1048" s="52"/>
      <c r="N1048" s="52"/>
      <c r="O1048" s="52"/>
      <c r="P1048" s="52"/>
      <c r="Q1048" s="52"/>
      <c r="R1048" s="52"/>
      <c r="S1048" s="52"/>
      <c r="T1048" s="52"/>
      <c r="U1048" s="52"/>
      <c r="V1048" s="52"/>
      <c r="W1048" s="52"/>
      <c r="X1048" s="52"/>
      <c r="Y1048" s="52"/>
      <c r="Z1048" s="52"/>
    </row>
    <row r="1049" spans="1:26" ht="15.75" customHeight="1">
      <c r="A1049" s="52"/>
      <c r="B1049" s="52"/>
      <c r="C1049" s="52"/>
      <c r="D1049" s="52"/>
      <c r="E1049" s="52"/>
      <c r="F1049" s="71"/>
      <c r="G1049" s="52"/>
      <c r="H1049" s="52"/>
      <c r="I1049" s="52"/>
      <c r="J1049" s="52"/>
      <c r="K1049" s="52"/>
      <c r="L1049" s="52"/>
      <c r="M1049" s="52"/>
      <c r="N1049" s="52"/>
      <c r="O1049" s="52"/>
      <c r="P1049" s="52"/>
      <c r="Q1049" s="52"/>
      <c r="R1049" s="52"/>
      <c r="S1049" s="52"/>
      <c r="T1049" s="52"/>
      <c r="U1049" s="52"/>
      <c r="V1049" s="52"/>
      <c r="W1049" s="52"/>
      <c r="X1049" s="52"/>
      <c r="Y1049" s="52"/>
      <c r="Z1049" s="52"/>
    </row>
    <row r="1050" spans="1:26" ht="15.75" customHeight="1">
      <c r="A1050" s="52"/>
      <c r="B1050" s="52"/>
      <c r="C1050" s="52"/>
      <c r="D1050" s="52"/>
      <c r="E1050" s="52"/>
      <c r="F1050" s="71"/>
      <c r="G1050" s="52"/>
      <c r="H1050" s="52"/>
      <c r="I1050" s="52"/>
      <c r="J1050" s="52"/>
      <c r="K1050" s="52"/>
      <c r="L1050" s="52"/>
      <c r="M1050" s="52"/>
      <c r="N1050" s="52"/>
      <c r="O1050" s="52"/>
      <c r="P1050" s="52"/>
      <c r="Q1050" s="52"/>
      <c r="R1050" s="52"/>
      <c r="S1050" s="52"/>
      <c r="T1050" s="52"/>
      <c r="U1050" s="52"/>
      <c r="V1050" s="52"/>
      <c r="W1050" s="52"/>
      <c r="X1050" s="52"/>
      <c r="Y1050" s="52"/>
      <c r="Z1050" s="52"/>
    </row>
    <row r="1051" spans="1:26" ht="15.75" customHeight="1">
      <c r="A1051" s="52"/>
      <c r="B1051" s="52"/>
      <c r="C1051" s="52"/>
      <c r="D1051" s="52"/>
      <c r="E1051" s="52"/>
      <c r="F1051" s="71"/>
      <c r="G1051" s="52"/>
      <c r="H1051" s="52"/>
      <c r="I1051" s="52"/>
      <c r="J1051" s="52"/>
      <c r="K1051" s="52"/>
      <c r="L1051" s="52"/>
      <c r="M1051" s="52"/>
      <c r="N1051" s="52"/>
      <c r="O1051" s="52"/>
      <c r="P1051" s="52"/>
      <c r="Q1051" s="52"/>
      <c r="R1051" s="52"/>
      <c r="S1051" s="52"/>
      <c r="T1051" s="52"/>
      <c r="U1051" s="52"/>
      <c r="V1051" s="52"/>
      <c r="W1051" s="52"/>
      <c r="X1051" s="52"/>
      <c r="Y1051" s="52"/>
      <c r="Z1051" s="52"/>
    </row>
    <row r="1052" spans="1:26" ht="15.75" customHeight="1">
      <c r="A1052" s="52"/>
      <c r="B1052" s="52"/>
      <c r="C1052" s="52"/>
      <c r="D1052" s="52"/>
      <c r="E1052" s="52"/>
      <c r="F1052" s="71"/>
      <c r="G1052" s="52"/>
      <c r="H1052" s="52"/>
      <c r="I1052" s="52"/>
      <c r="J1052" s="52"/>
      <c r="K1052" s="52"/>
      <c r="L1052" s="52"/>
      <c r="M1052" s="52"/>
      <c r="N1052" s="52"/>
      <c r="O1052" s="52"/>
      <c r="P1052" s="52"/>
      <c r="Q1052" s="52"/>
      <c r="R1052" s="52"/>
      <c r="S1052" s="52"/>
      <c r="T1052" s="52"/>
      <c r="U1052" s="52"/>
      <c r="V1052" s="52"/>
      <c r="W1052" s="52"/>
      <c r="X1052" s="52"/>
      <c r="Y1052" s="52"/>
      <c r="Z1052" s="52"/>
    </row>
    <row r="1053" spans="1:26" ht="15.75" customHeight="1">
      <c r="A1053" s="52"/>
      <c r="B1053" s="52"/>
      <c r="C1053" s="52"/>
      <c r="D1053" s="52"/>
      <c r="E1053" s="52"/>
      <c r="F1053" s="71"/>
      <c r="G1053" s="52"/>
      <c r="H1053" s="52"/>
      <c r="I1053" s="52"/>
      <c r="J1053" s="52"/>
      <c r="K1053" s="52"/>
      <c r="L1053" s="52"/>
      <c r="M1053" s="52"/>
      <c r="N1053" s="52"/>
      <c r="O1053" s="52"/>
      <c r="P1053" s="52"/>
      <c r="Q1053" s="52"/>
      <c r="R1053" s="52"/>
      <c r="S1053" s="52"/>
      <c r="T1053" s="52"/>
      <c r="U1053" s="52"/>
      <c r="V1053" s="52"/>
      <c r="W1053" s="52"/>
      <c r="X1053" s="52"/>
      <c r="Y1053" s="52"/>
      <c r="Z1053" s="52"/>
    </row>
    <row r="1054" spans="1:26" ht="15.75" customHeight="1">
      <c r="A1054" s="52"/>
      <c r="B1054" s="52"/>
      <c r="C1054" s="52"/>
      <c r="D1054" s="52"/>
      <c r="E1054" s="52"/>
      <c r="F1054" s="71"/>
      <c r="G1054" s="52"/>
      <c r="H1054" s="52"/>
      <c r="I1054" s="52"/>
      <c r="J1054" s="52"/>
      <c r="K1054" s="52"/>
      <c r="L1054" s="52"/>
      <c r="M1054" s="52"/>
      <c r="N1054" s="52"/>
      <c r="O1054" s="52"/>
      <c r="P1054" s="52"/>
      <c r="Q1054" s="52"/>
      <c r="R1054" s="52"/>
      <c r="S1054" s="52"/>
      <c r="T1054" s="52"/>
      <c r="U1054" s="52"/>
      <c r="V1054" s="52"/>
      <c r="W1054" s="52"/>
      <c r="X1054" s="52"/>
      <c r="Y1054" s="52"/>
      <c r="Z1054" s="52"/>
    </row>
    <row r="1055" spans="1:26" ht="15.75" customHeight="1">
      <c r="A1055" s="52"/>
      <c r="B1055" s="52"/>
      <c r="C1055" s="52"/>
      <c r="D1055" s="52"/>
      <c r="E1055" s="52"/>
      <c r="F1055" s="71"/>
      <c r="G1055" s="52"/>
      <c r="H1055" s="52"/>
      <c r="I1055" s="52"/>
      <c r="J1055" s="52"/>
      <c r="K1055" s="52"/>
      <c r="L1055" s="52"/>
      <c r="M1055" s="52"/>
      <c r="N1055" s="52"/>
      <c r="O1055" s="52"/>
      <c r="P1055" s="52"/>
      <c r="Q1055" s="52"/>
      <c r="R1055" s="52"/>
      <c r="S1055" s="52"/>
      <c r="T1055" s="52"/>
      <c r="U1055" s="52"/>
      <c r="V1055" s="52"/>
      <c r="W1055" s="52"/>
      <c r="X1055" s="52"/>
      <c r="Y1055" s="52"/>
      <c r="Z1055" s="52"/>
    </row>
    <row r="1056" spans="1:26" ht="15.75" customHeight="1">
      <c r="A1056" s="52"/>
      <c r="B1056" s="52"/>
      <c r="C1056" s="52"/>
      <c r="D1056" s="52"/>
      <c r="E1056" s="52"/>
      <c r="F1056" s="71"/>
      <c r="G1056" s="52"/>
      <c r="H1056" s="52"/>
      <c r="I1056" s="52"/>
      <c r="J1056" s="52"/>
      <c r="K1056" s="52"/>
      <c r="L1056" s="52"/>
      <c r="M1056" s="52"/>
      <c r="N1056" s="52"/>
      <c r="O1056" s="52"/>
      <c r="P1056" s="52"/>
      <c r="Q1056" s="52"/>
      <c r="R1056" s="52"/>
      <c r="S1056" s="52"/>
      <c r="T1056" s="52"/>
      <c r="U1056" s="52"/>
      <c r="V1056" s="52"/>
      <c r="W1056" s="52"/>
      <c r="X1056" s="52"/>
      <c r="Y1056" s="52"/>
      <c r="Z1056" s="52"/>
    </row>
    <row r="1057" spans="1:26" ht="15.75" customHeight="1">
      <c r="A1057" s="52"/>
      <c r="B1057" s="52"/>
      <c r="C1057" s="52"/>
      <c r="D1057" s="52"/>
      <c r="E1057" s="52"/>
      <c r="F1057" s="71"/>
      <c r="G1057" s="52"/>
      <c r="H1057" s="52"/>
      <c r="I1057" s="52"/>
      <c r="J1057" s="52"/>
      <c r="K1057" s="52"/>
      <c r="L1057" s="52"/>
      <c r="M1057" s="52"/>
      <c r="N1057" s="52"/>
      <c r="O1057" s="52"/>
      <c r="P1057" s="52"/>
      <c r="Q1057" s="52"/>
      <c r="R1057" s="52"/>
      <c r="S1057" s="52"/>
      <c r="T1057" s="52"/>
      <c r="U1057" s="52"/>
      <c r="V1057" s="52"/>
      <c r="W1057" s="52"/>
      <c r="X1057" s="52"/>
      <c r="Y1057" s="52"/>
      <c r="Z1057" s="52"/>
    </row>
    <row r="1058" spans="1:26" ht="15.75" customHeight="1">
      <c r="A1058" s="52"/>
      <c r="B1058" s="52"/>
      <c r="C1058" s="52"/>
      <c r="D1058" s="52"/>
      <c r="E1058" s="52"/>
      <c r="F1058" s="71"/>
      <c r="G1058" s="52"/>
      <c r="H1058" s="52"/>
      <c r="I1058" s="52"/>
      <c r="J1058" s="52"/>
      <c r="K1058" s="52"/>
      <c r="L1058" s="52"/>
      <c r="M1058" s="52"/>
      <c r="N1058" s="52"/>
      <c r="O1058" s="52"/>
      <c r="P1058" s="52"/>
      <c r="Q1058" s="52"/>
      <c r="R1058" s="52"/>
      <c r="S1058" s="52"/>
      <c r="T1058" s="52"/>
      <c r="U1058" s="52"/>
      <c r="V1058" s="52"/>
      <c r="W1058" s="52"/>
      <c r="X1058" s="52"/>
      <c r="Y1058" s="52"/>
      <c r="Z1058" s="52"/>
    </row>
    <row r="1059" spans="1:26" ht="15.75" customHeight="1">
      <c r="A1059" s="52"/>
      <c r="B1059" s="52"/>
      <c r="C1059" s="52"/>
      <c r="D1059" s="52"/>
      <c r="E1059" s="52"/>
      <c r="F1059" s="71"/>
      <c r="G1059" s="52"/>
      <c r="H1059" s="52"/>
      <c r="I1059" s="52"/>
      <c r="J1059" s="52"/>
      <c r="K1059" s="52"/>
      <c r="L1059" s="52"/>
      <c r="M1059" s="52"/>
      <c r="N1059" s="52"/>
      <c r="O1059" s="52"/>
      <c r="P1059" s="52"/>
      <c r="Q1059" s="52"/>
      <c r="R1059" s="52"/>
      <c r="S1059" s="52"/>
      <c r="T1059" s="52"/>
      <c r="U1059" s="52"/>
      <c r="V1059" s="52"/>
      <c r="W1059" s="52"/>
      <c r="X1059" s="52"/>
      <c r="Y1059" s="52"/>
      <c r="Z1059" s="52"/>
    </row>
    <row r="1060" spans="1:26" ht="15.75" customHeight="1">
      <c r="A1060" s="52"/>
      <c r="B1060" s="52"/>
      <c r="C1060" s="52"/>
      <c r="D1060" s="52"/>
      <c r="E1060" s="52"/>
      <c r="F1060" s="71"/>
      <c r="G1060" s="52"/>
      <c r="H1060" s="52"/>
      <c r="I1060" s="52"/>
      <c r="J1060" s="52"/>
      <c r="K1060" s="52"/>
      <c r="L1060" s="52"/>
      <c r="M1060" s="52"/>
      <c r="N1060" s="52"/>
      <c r="O1060" s="52"/>
      <c r="P1060" s="52"/>
      <c r="Q1060" s="52"/>
      <c r="R1060" s="52"/>
      <c r="S1060" s="52"/>
      <c r="T1060" s="52"/>
      <c r="U1060" s="52"/>
      <c r="V1060" s="52"/>
      <c r="W1060" s="52"/>
      <c r="X1060" s="52"/>
      <c r="Y1060" s="52"/>
      <c r="Z1060" s="52"/>
    </row>
    <row r="1061" spans="1:26" ht="15.75" customHeight="1">
      <c r="A1061" s="52"/>
      <c r="B1061" s="52"/>
      <c r="C1061" s="52"/>
      <c r="D1061" s="52"/>
      <c r="E1061" s="52"/>
      <c r="F1061" s="71"/>
      <c r="G1061" s="52"/>
      <c r="H1061" s="52"/>
      <c r="I1061" s="52"/>
      <c r="J1061" s="52"/>
      <c r="K1061" s="52"/>
      <c r="L1061" s="52"/>
      <c r="M1061" s="52"/>
      <c r="N1061" s="52"/>
      <c r="O1061" s="52"/>
      <c r="P1061" s="52"/>
      <c r="Q1061" s="52"/>
      <c r="R1061" s="52"/>
      <c r="S1061" s="52"/>
      <c r="T1061" s="52"/>
      <c r="U1061" s="52"/>
      <c r="V1061" s="52"/>
      <c r="W1061" s="52"/>
      <c r="X1061" s="52"/>
      <c r="Y1061" s="52"/>
      <c r="Z1061" s="52"/>
    </row>
    <row r="1062" spans="1:26" ht="15.75" customHeight="1">
      <c r="A1062" s="52"/>
      <c r="B1062" s="52"/>
      <c r="C1062" s="52"/>
      <c r="D1062" s="52"/>
      <c r="E1062" s="52"/>
      <c r="F1062" s="71"/>
      <c r="G1062" s="52"/>
      <c r="H1062" s="52"/>
      <c r="I1062" s="52"/>
      <c r="J1062" s="52"/>
      <c r="K1062" s="52"/>
      <c r="L1062" s="52"/>
      <c r="M1062" s="52"/>
      <c r="N1062" s="52"/>
      <c r="O1062" s="52"/>
      <c r="P1062" s="52"/>
      <c r="Q1062" s="52"/>
      <c r="R1062" s="52"/>
      <c r="S1062" s="52"/>
      <c r="T1062" s="52"/>
      <c r="U1062" s="52"/>
      <c r="V1062" s="52"/>
      <c r="W1062" s="52"/>
      <c r="X1062" s="52"/>
      <c r="Y1062" s="52"/>
      <c r="Z1062" s="52"/>
    </row>
    <row r="1063" spans="1:26" ht="15.75" customHeight="1">
      <c r="A1063" s="52"/>
      <c r="B1063" s="52"/>
      <c r="C1063" s="52"/>
      <c r="D1063" s="52"/>
      <c r="E1063" s="52"/>
      <c r="F1063" s="71"/>
      <c r="G1063" s="52"/>
      <c r="H1063" s="52"/>
      <c r="I1063" s="52"/>
      <c r="J1063" s="52"/>
      <c r="K1063" s="52"/>
      <c r="L1063" s="52"/>
      <c r="M1063" s="52"/>
      <c r="N1063" s="52"/>
      <c r="O1063" s="52"/>
      <c r="P1063" s="52"/>
      <c r="Q1063" s="52"/>
      <c r="R1063" s="52"/>
      <c r="S1063" s="52"/>
      <c r="T1063" s="52"/>
      <c r="U1063" s="52"/>
      <c r="V1063" s="52"/>
      <c r="W1063" s="52"/>
      <c r="X1063" s="52"/>
      <c r="Y1063" s="52"/>
      <c r="Z1063" s="52"/>
    </row>
    <row r="1064" spans="1:26" ht="15.75" customHeight="1">
      <c r="A1064" s="52"/>
      <c r="B1064" s="52"/>
      <c r="C1064" s="52"/>
      <c r="D1064" s="52"/>
      <c r="E1064" s="52"/>
      <c r="F1064" s="71"/>
      <c r="G1064" s="52"/>
      <c r="H1064" s="52"/>
      <c r="I1064" s="52"/>
      <c r="J1064" s="52"/>
      <c r="K1064" s="52"/>
      <c r="L1064" s="52"/>
      <c r="M1064" s="52"/>
      <c r="N1064" s="52"/>
      <c r="O1064" s="52"/>
      <c r="P1064" s="52"/>
      <c r="Q1064" s="52"/>
      <c r="R1064" s="52"/>
      <c r="S1064" s="52"/>
      <c r="T1064" s="52"/>
      <c r="U1064" s="52"/>
      <c r="V1064" s="52"/>
      <c r="W1064" s="52"/>
      <c r="X1064" s="52"/>
      <c r="Y1064" s="52"/>
      <c r="Z1064" s="52"/>
    </row>
    <row r="1065" spans="1:26" ht="15.75" customHeight="1">
      <c r="A1065" s="52"/>
      <c r="B1065" s="52"/>
      <c r="C1065" s="52"/>
      <c r="D1065" s="52"/>
      <c r="E1065" s="52"/>
      <c r="F1065" s="71"/>
      <c r="G1065" s="52"/>
      <c r="H1065" s="52"/>
      <c r="I1065" s="52"/>
      <c r="J1065" s="52"/>
      <c r="K1065" s="52"/>
      <c r="L1065" s="52"/>
      <c r="M1065" s="52"/>
      <c r="N1065" s="52"/>
      <c r="O1065" s="52"/>
      <c r="P1065" s="52"/>
      <c r="Q1065" s="52"/>
      <c r="R1065" s="52"/>
      <c r="S1065" s="52"/>
      <c r="T1065" s="52"/>
      <c r="U1065" s="52"/>
      <c r="V1065" s="52"/>
      <c r="W1065" s="52"/>
      <c r="X1065" s="52"/>
      <c r="Y1065" s="52"/>
      <c r="Z1065" s="52"/>
    </row>
    <row r="1066" spans="1:26" ht="15.75" customHeight="1">
      <c r="A1066" s="52"/>
      <c r="B1066" s="52"/>
      <c r="C1066" s="52"/>
      <c r="D1066" s="52"/>
      <c r="E1066" s="52"/>
      <c r="F1066" s="71"/>
      <c r="G1066" s="52"/>
      <c r="H1066" s="52"/>
      <c r="I1066" s="52"/>
      <c r="J1066" s="52"/>
      <c r="K1066" s="52"/>
      <c r="L1066" s="52"/>
      <c r="M1066" s="52"/>
      <c r="N1066" s="52"/>
      <c r="O1066" s="52"/>
      <c r="P1066" s="52"/>
      <c r="Q1066" s="52"/>
      <c r="R1066" s="52"/>
      <c r="S1066" s="52"/>
      <c r="T1066" s="52"/>
      <c r="U1066" s="52"/>
      <c r="V1066" s="52"/>
      <c r="W1066" s="52"/>
      <c r="X1066" s="52"/>
      <c r="Y1066" s="52"/>
      <c r="Z1066" s="52"/>
    </row>
    <row r="1067" spans="1:26" ht="15.75" customHeight="1">
      <c r="A1067" s="52"/>
      <c r="B1067" s="52"/>
      <c r="C1067" s="52"/>
      <c r="D1067" s="52"/>
      <c r="E1067" s="52"/>
      <c r="F1067" s="71"/>
      <c r="G1067" s="52"/>
      <c r="H1067" s="52"/>
      <c r="I1067" s="52"/>
      <c r="J1067" s="52"/>
      <c r="K1067" s="52"/>
      <c r="L1067" s="52"/>
      <c r="M1067" s="52"/>
      <c r="N1067" s="52"/>
      <c r="O1067" s="52"/>
      <c r="P1067" s="52"/>
      <c r="Q1067" s="52"/>
      <c r="R1067" s="52"/>
      <c r="S1067" s="52"/>
      <c r="T1067" s="52"/>
      <c r="U1067" s="52"/>
      <c r="V1067" s="52"/>
      <c r="W1067" s="52"/>
      <c r="X1067" s="52"/>
      <c r="Y1067" s="52"/>
      <c r="Z1067" s="52"/>
    </row>
    <row r="1068" spans="1:26" ht="15.75" customHeight="1">
      <c r="A1068" s="52"/>
      <c r="B1068" s="52"/>
      <c r="C1068" s="52"/>
      <c r="D1068" s="52"/>
      <c r="E1068" s="52"/>
      <c r="F1068" s="71"/>
      <c r="G1068" s="52"/>
      <c r="H1068" s="52"/>
      <c r="I1068" s="52"/>
      <c r="J1068" s="52"/>
      <c r="K1068" s="52"/>
      <c r="L1068" s="52"/>
      <c r="M1068" s="52"/>
      <c r="N1068" s="52"/>
      <c r="O1068" s="52"/>
      <c r="P1068" s="52"/>
      <c r="Q1068" s="52"/>
      <c r="R1068" s="52"/>
      <c r="S1068" s="52"/>
      <c r="T1068" s="52"/>
      <c r="U1068" s="52"/>
      <c r="V1068" s="52"/>
      <c r="W1068" s="52"/>
      <c r="X1068" s="52"/>
      <c r="Y1068" s="52"/>
      <c r="Z1068" s="52"/>
    </row>
    <row r="1069" spans="1:26" ht="15.75" customHeight="1">
      <c r="A1069" s="52"/>
      <c r="B1069" s="52"/>
      <c r="C1069" s="52"/>
      <c r="D1069" s="52"/>
      <c r="E1069" s="52"/>
      <c r="F1069" s="71"/>
      <c r="G1069" s="52"/>
      <c r="H1069" s="52"/>
      <c r="I1069" s="52"/>
      <c r="J1069" s="52"/>
      <c r="K1069" s="52"/>
      <c r="L1069" s="52"/>
      <c r="M1069" s="52"/>
      <c r="N1069" s="52"/>
      <c r="O1069" s="52"/>
      <c r="P1069" s="52"/>
      <c r="Q1069" s="52"/>
      <c r="R1069" s="52"/>
      <c r="S1069" s="52"/>
      <c r="T1069" s="52"/>
      <c r="U1069" s="52"/>
      <c r="V1069" s="52"/>
      <c r="W1069" s="52"/>
      <c r="X1069" s="52"/>
      <c r="Y1069" s="52"/>
      <c r="Z1069" s="52"/>
    </row>
    <row r="1070" spans="1:26" ht="15.75" customHeight="1">
      <c r="A1070" s="52"/>
      <c r="B1070" s="52"/>
      <c r="C1070" s="52"/>
      <c r="D1070" s="52"/>
      <c r="E1070" s="52"/>
      <c r="F1070" s="71"/>
      <c r="G1070" s="52"/>
      <c r="H1070" s="52"/>
      <c r="I1070" s="52"/>
      <c r="J1070" s="52"/>
      <c r="K1070" s="52"/>
      <c r="L1070" s="52"/>
      <c r="M1070" s="52"/>
      <c r="N1070" s="52"/>
      <c r="O1070" s="52"/>
      <c r="P1070" s="52"/>
      <c r="Q1070" s="52"/>
      <c r="R1070" s="52"/>
      <c r="S1070" s="52"/>
      <c r="T1070" s="52"/>
      <c r="U1070" s="52"/>
      <c r="V1070" s="52"/>
      <c r="W1070" s="52"/>
      <c r="X1070" s="52"/>
      <c r="Y1070" s="52"/>
      <c r="Z1070" s="52"/>
    </row>
    <row r="1071" spans="1:26" ht="15.75" customHeight="1">
      <c r="A1071" s="52"/>
      <c r="B1071" s="52"/>
      <c r="C1071" s="52"/>
      <c r="D1071" s="52"/>
      <c r="E1071" s="52"/>
      <c r="F1071" s="71"/>
      <c r="G1071" s="52"/>
      <c r="H1071" s="52"/>
      <c r="I1071" s="52"/>
      <c r="J1071" s="52"/>
      <c r="K1071" s="52"/>
      <c r="L1071" s="52"/>
      <c r="M1071" s="52"/>
      <c r="N1071" s="52"/>
      <c r="O1071" s="52"/>
      <c r="P1071" s="52"/>
      <c r="Q1071" s="52"/>
      <c r="R1071" s="52"/>
      <c r="S1071" s="52"/>
      <c r="T1071" s="52"/>
      <c r="U1071" s="52"/>
      <c r="V1071" s="52"/>
      <c r="W1071" s="52"/>
      <c r="X1071" s="52"/>
      <c r="Y1071" s="52"/>
      <c r="Z1071" s="52"/>
    </row>
    <row r="1072" spans="1:26" ht="15.75" customHeight="1">
      <c r="A1072" s="52"/>
      <c r="B1072" s="52"/>
      <c r="C1072" s="52"/>
      <c r="D1072" s="52"/>
      <c r="E1072" s="52"/>
      <c r="F1072" s="71"/>
      <c r="G1072" s="52"/>
      <c r="H1072" s="52"/>
      <c r="I1072" s="52"/>
      <c r="J1072" s="52"/>
      <c r="K1072" s="52"/>
      <c r="L1072" s="52"/>
      <c r="M1072" s="52"/>
      <c r="N1072" s="52"/>
      <c r="O1072" s="52"/>
      <c r="P1072" s="52"/>
      <c r="Q1072" s="52"/>
      <c r="R1072" s="52"/>
      <c r="S1072" s="52"/>
      <c r="T1072" s="52"/>
      <c r="U1072" s="52"/>
      <c r="V1072" s="52"/>
      <c r="W1072" s="52"/>
      <c r="X1072" s="52"/>
      <c r="Y1072" s="52"/>
      <c r="Z1072" s="52"/>
    </row>
    <row r="1073" spans="1:26" ht="15.75" customHeight="1">
      <c r="A1073" s="52"/>
      <c r="B1073" s="52"/>
      <c r="C1073" s="52"/>
      <c r="D1073" s="52"/>
      <c r="E1073" s="52"/>
      <c r="F1073" s="71"/>
      <c r="G1073" s="52"/>
      <c r="H1073" s="52"/>
      <c r="I1073" s="52"/>
      <c r="J1073" s="52"/>
      <c r="K1073" s="52"/>
      <c r="L1073" s="52"/>
      <c r="M1073" s="52"/>
      <c r="N1073" s="52"/>
      <c r="O1073" s="52"/>
      <c r="P1073" s="52"/>
      <c r="Q1073" s="52"/>
      <c r="R1073" s="52"/>
      <c r="S1073" s="52"/>
      <c r="T1073" s="52"/>
      <c r="U1073" s="52"/>
      <c r="V1073" s="52"/>
      <c r="W1073" s="52"/>
      <c r="X1073" s="52"/>
      <c r="Y1073" s="52"/>
      <c r="Z1073" s="52"/>
    </row>
    <row r="1074" spans="1:26" ht="15.75" customHeight="1">
      <c r="A1074" s="52"/>
      <c r="B1074" s="52"/>
      <c r="C1074" s="52"/>
      <c r="D1074" s="52"/>
      <c r="E1074" s="52"/>
      <c r="F1074" s="71"/>
      <c r="G1074" s="52"/>
      <c r="H1074" s="52"/>
      <c r="I1074" s="52"/>
      <c r="J1074" s="52"/>
      <c r="K1074" s="52"/>
      <c r="L1074" s="52"/>
      <c r="M1074" s="52"/>
      <c r="N1074" s="52"/>
      <c r="O1074" s="52"/>
      <c r="P1074" s="52"/>
      <c r="Q1074" s="52"/>
      <c r="R1074" s="52"/>
      <c r="S1074" s="52"/>
      <c r="T1074" s="52"/>
      <c r="U1074" s="52"/>
      <c r="V1074" s="52"/>
      <c r="W1074" s="52"/>
      <c r="X1074" s="52"/>
      <c r="Y1074" s="52"/>
      <c r="Z1074" s="52"/>
    </row>
    <row r="1075" spans="1:26" ht="15.75" customHeight="1">
      <c r="A1075" s="52"/>
      <c r="B1075" s="52"/>
      <c r="C1075" s="52"/>
      <c r="D1075" s="52"/>
      <c r="E1075" s="52"/>
      <c r="F1075" s="71"/>
      <c r="G1075" s="52"/>
      <c r="H1075" s="52"/>
      <c r="I1075" s="52"/>
      <c r="J1075" s="52"/>
      <c r="K1075" s="52"/>
      <c r="L1075" s="52"/>
      <c r="M1075" s="52"/>
      <c r="N1075" s="52"/>
      <c r="O1075" s="52"/>
      <c r="P1075" s="52"/>
      <c r="Q1075" s="52"/>
      <c r="R1075" s="52"/>
      <c r="S1075" s="52"/>
      <c r="T1075" s="52"/>
      <c r="U1075" s="52"/>
      <c r="V1075" s="52"/>
      <c r="W1075" s="52"/>
      <c r="X1075" s="52"/>
      <c r="Y1075" s="52"/>
      <c r="Z1075" s="52"/>
    </row>
    <row r="1076" spans="1:26" ht="15.75" customHeight="1">
      <c r="A1076" s="52"/>
      <c r="B1076" s="52"/>
      <c r="C1076" s="52"/>
      <c r="D1076" s="52"/>
      <c r="E1076" s="52"/>
      <c r="F1076" s="71"/>
      <c r="G1076" s="52"/>
      <c r="H1076" s="52"/>
      <c r="I1076" s="52"/>
      <c r="J1076" s="52"/>
      <c r="K1076" s="52"/>
      <c r="L1076" s="52"/>
      <c r="M1076" s="52"/>
      <c r="N1076" s="52"/>
      <c r="O1076" s="52"/>
      <c r="P1076" s="52"/>
      <c r="Q1076" s="52"/>
      <c r="R1076" s="52"/>
      <c r="S1076" s="52"/>
      <c r="T1076" s="52"/>
      <c r="U1076" s="52"/>
      <c r="V1076" s="52"/>
      <c r="W1076" s="52"/>
      <c r="X1076" s="52"/>
      <c r="Y1076" s="52"/>
      <c r="Z1076" s="52"/>
    </row>
    <row r="1077" spans="1:26" ht="15.75" customHeight="1">
      <c r="A1077" s="52"/>
      <c r="B1077" s="52"/>
      <c r="C1077" s="52"/>
      <c r="D1077" s="52"/>
      <c r="E1077" s="52"/>
      <c r="F1077" s="71"/>
      <c r="G1077" s="52"/>
      <c r="H1077" s="52"/>
      <c r="I1077" s="52"/>
      <c r="J1077" s="52"/>
      <c r="K1077" s="52"/>
      <c r="L1077" s="52"/>
      <c r="M1077" s="52"/>
      <c r="N1077" s="52"/>
      <c r="O1077" s="52"/>
      <c r="P1077" s="52"/>
      <c r="Q1077" s="52"/>
      <c r="R1077" s="52"/>
      <c r="S1077" s="52"/>
      <c r="T1077" s="52"/>
      <c r="U1077" s="52"/>
      <c r="V1077" s="52"/>
      <c r="W1077" s="52"/>
      <c r="X1077" s="52"/>
      <c r="Y1077" s="52"/>
      <c r="Z1077" s="52"/>
    </row>
    <row r="1078" spans="1:26" ht="15.75" customHeight="1">
      <c r="A1078" s="52"/>
      <c r="B1078" s="52"/>
      <c r="C1078" s="52"/>
      <c r="D1078" s="52"/>
      <c r="E1078" s="52"/>
      <c r="F1078" s="71"/>
      <c r="G1078" s="52"/>
      <c r="H1078" s="52"/>
      <c r="I1078" s="52"/>
      <c r="J1078" s="52"/>
      <c r="K1078" s="52"/>
      <c r="L1078" s="52"/>
      <c r="M1078" s="52"/>
      <c r="N1078" s="52"/>
      <c r="O1078" s="52"/>
      <c r="P1078" s="52"/>
      <c r="Q1078" s="52"/>
      <c r="R1078" s="52"/>
      <c r="S1078" s="52"/>
      <c r="T1078" s="52"/>
      <c r="U1078" s="52"/>
      <c r="V1078" s="52"/>
      <c r="W1078" s="52"/>
      <c r="X1078" s="52"/>
      <c r="Y1078" s="52"/>
      <c r="Z1078" s="52"/>
    </row>
    <row r="1079" spans="1:26" ht="15.75" customHeight="1">
      <c r="A1079" s="52"/>
      <c r="B1079" s="52"/>
      <c r="C1079" s="52"/>
      <c r="D1079" s="52"/>
      <c r="E1079" s="52"/>
      <c r="F1079" s="71"/>
      <c r="G1079" s="52"/>
      <c r="H1079" s="52"/>
      <c r="I1079" s="52"/>
      <c r="J1079" s="52"/>
      <c r="K1079" s="52"/>
      <c r="L1079" s="52"/>
      <c r="M1079" s="52"/>
      <c r="N1079" s="52"/>
      <c r="O1079" s="52"/>
      <c r="P1079" s="52"/>
      <c r="Q1079" s="52"/>
      <c r="R1079" s="52"/>
      <c r="S1079" s="52"/>
      <c r="T1079" s="52"/>
      <c r="U1079" s="52"/>
      <c r="V1079" s="52"/>
      <c r="W1079" s="52"/>
      <c r="X1079" s="52"/>
      <c r="Y1079" s="52"/>
      <c r="Z1079" s="52"/>
    </row>
    <row r="1080" spans="1:26" ht="15.75" customHeight="1">
      <c r="A1080" s="52"/>
      <c r="B1080" s="52"/>
      <c r="C1080" s="52"/>
      <c r="D1080" s="52"/>
      <c r="E1080" s="52"/>
      <c r="F1080" s="71"/>
      <c r="G1080" s="52"/>
      <c r="H1080" s="52"/>
      <c r="I1080" s="52"/>
      <c r="J1080" s="52"/>
      <c r="K1080" s="52"/>
      <c r="L1080" s="52"/>
      <c r="M1080" s="52"/>
      <c r="N1080" s="52"/>
      <c r="O1080" s="52"/>
      <c r="P1080" s="52"/>
      <c r="Q1080" s="52"/>
      <c r="R1080" s="52"/>
      <c r="S1080" s="52"/>
      <c r="T1080" s="52"/>
      <c r="U1080" s="52"/>
      <c r="V1080" s="52"/>
      <c r="W1080" s="52"/>
      <c r="X1080" s="52"/>
      <c r="Y1080" s="52"/>
      <c r="Z1080" s="52"/>
    </row>
    <row r="1081" spans="1:26" ht="15.75" customHeight="1">
      <c r="A1081" s="52"/>
      <c r="B1081" s="52"/>
      <c r="C1081" s="52"/>
      <c r="D1081" s="52"/>
      <c r="E1081" s="52"/>
      <c r="F1081" s="71"/>
      <c r="G1081" s="52"/>
      <c r="H1081" s="52"/>
      <c r="I1081" s="52"/>
      <c r="J1081" s="52"/>
      <c r="K1081" s="52"/>
      <c r="L1081" s="52"/>
      <c r="M1081" s="52"/>
      <c r="N1081" s="52"/>
      <c r="O1081" s="52"/>
      <c r="P1081" s="52"/>
      <c r="Q1081" s="52"/>
      <c r="R1081" s="52"/>
      <c r="S1081" s="52"/>
      <c r="T1081" s="52"/>
      <c r="U1081" s="52"/>
      <c r="V1081" s="52"/>
      <c r="W1081" s="52"/>
      <c r="X1081" s="52"/>
      <c r="Y1081" s="52"/>
      <c r="Z1081" s="52"/>
    </row>
    <row r="1082" spans="1:26" ht="15.75" customHeight="1">
      <c r="A1082" s="52"/>
      <c r="B1082" s="52"/>
      <c r="C1082" s="52"/>
      <c r="D1082" s="52"/>
      <c r="E1082" s="52"/>
      <c r="F1082" s="71"/>
      <c r="G1082" s="52"/>
      <c r="H1082" s="52"/>
      <c r="I1082" s="52"/>
      <c r="J1082" s="52"/>
      <c r="K1082" s="52"/>
      <c r="L1082" s="52"/>
      <c r="M1082" s="52"/>
      <c r="N1082" s="52"/>
      <c r="O1082" s="52"/>
      <c r="P1082" s="52"/>
      <c r="Q1082" s="52"/>
      <c r="R1082" s="52"/>
      <c r="S1082" s="52"/>
      <c r="T1082" s="52"/>
      <c r="U1082" s="52"/>
      <c r="V1082" s="52"/>
      <c r="W1082" s="52"/>
      <c r="X1082" s="52"/>
      <c r="Y1082" s="52"/>
      <c r="Z1082" s="52"/>
    </row>
    <row r="1083" spans="1:26" ht="15.75" customHeight="1">
      <c r="A1083" s="52"/>
      <c r="B1083" s="52"/>
      <c r="C1083" s="52"/>
      <c r="D1083" s="52"/>
      <c r="E1083" s="52"/>
      <c r="F1083" s="71"/>
      <c r="G1083" s="52"/>
      <c r="H1083" s="52"/>
      <c r="I1083" s="52"/>
      <c r="J1083" s="52"/>
      <c r="K1083" s="52"/>
      <c r="L1083" s="52"/>
      <c r="M1083" s="52"/>
      <c r="N1083" s="52"/>
      <c r="O1083" s="52"/>
      <c r="P1083" s="52"/>
      <c r="Q1083" s="52"/>
      <c r="R1083" s="52"/>
      <c r="S1083" s="52"/>
      <c r="T1083" s="52"/>
      <c r="U1083" s="52"/>
      <c r="V1083" s="52"/>
      <c r="W1083" s="52"/>
      <c r="X1083" s="52"/>
      <c r="Y1083" s="52"/>
      <c r="Z1083" s="52"/>
    </row>
    <row r="1084" spans="1:26" ht="15.75" customHeight="1">
      <c r="A1084" s="52"/>
      <c r="B1084" s="52"/>
      <c r="C1084" s="52"/>
      <c r="D1084" s="52"/>
      <c r="E1084" s="52"/>
      <c r="F1084" s="71"/>
      <c r="G1084" s="52"/>
      <c r="H1084" s="52"/>
      <c r="I1084" s="52"/>
      <c r="J1084" s="52"/>
      <c r="K1084" s="52"/>
      <c r="L1084" s="52"/>
      <c r="M1084" s="52"/>
      <c r="N1084" s="52"/>
      <c r="O1084" s="52"/>
      <c r="P1084" s="52"/>
      <c r="Q1084" s="52"/>
      <c r="R1084" s="52"/>
      <c r="S1084" s="52"/>
      <c r="T1084" s="52"/>
      <c r="U1084" s="52"/>
      <c r="V1084" s="52"/>
      <c r="W1084" s="52"/>
      <c r="X1084" s="52"/>
      <c r="Y1084" s="52"/>
      <c r="Z1084" s="52"/>
    </row>
    <row r="1085" spans="1:26" ht="15.75" customHeight="1">
      <c r="A1085" s="52"/>
      <c r="B1085" s="52"/>
      <c r="C1085" s="52"/>
      <c r="D1085" s="52"/>
      <c r="E1085" s="52"/>
      <c r="F1085" s="71"/>
      <c r="G1085" s="52"/>
      <c r="H1085" s="52"/>
      <c r="I1085" s="52"/>
      <c r="J1085" s="52"/>
      <c r="K1085" s="52"/>
      <c r="L1085" s="52"/>
      <c r="M1085" s="52"/>
      <c r="N1085" s="52"/>
      <c r="O1085" s="52"/>
      <c r="P1085" s="52"/>
      <c r="Q1085" s="52"/>
      <c r="R1085" s="52"/>
      <c r="S1085" s="52"/>
      <c r="T1085" s="52"/>
      <c r="U1085" s="52"/>
      <c r="V1085" s="52"/>
      <c r="W1085" s="52"/>
      <c r="X1085" s="52"/>
      <c r="Y1085" s="52"/>
      <c r="Z1085" s="52"/>
    </row>
    <row r="1086" spans="1:26" ht="15.75" customHeight="1">
      <c r="A1086" s="52"/>
      <c r="B1086" s="52"/>
      <c r="C1086" s="52"/>
      <c r="D1086" s="52"/>
      <c r="E1086" s="52"/>
      <c r="F1086" s="71"/>
      <c r="G1086" s="52"/>
      <c r="H1086" s="52"/>
      <c r="I1086" s="52"/>
      <c r="J1086" s="52"/>
      <c r="K1086" s="52"/>
      <c r="L1086" s="52"/>
      <c r="M1086" s="52"/>
      <c r="N1086" s="52"/>
      <c r="O1086" s="52"/>
      <c r="P1086" s="52"/>
      <c r="Q1086" s="52"/>
      <c r="R1086" s="52"/>
      <c r="S1086" s="52"/>
      <c r="T1086" s="52"/>
      <c r="U1086" s="52"/>
      <c r="V1086" s="52"/>
      <c r="W1086" s="52"/>
      <c r="X1086" s="52"/>
      <c r="Y1086" s="52"/>
      <c r="Z1086" s="52"/>
    </row>
    <row r="1087" spans="1:26" ht="15.75" customHeight="1">
      <c r="A1087" s="52"/>
      <c r="B1087" s="52"/>
      <c r="C1087" s="52"/>
      <c r="D1087" s="52"/>
      <c r="E1087" s="52"/>
      <c r="F1087" s="71"/>
      <c r="G1087" s="52"/>
      <c r="H1087" s="52"/>
      <c r="I1087" s="52"/>
      <c r="J1087" s="52"/>
      <c r="K1087" s="52"/>
      <c r="L1087" s="52"/>
      <c r="M1087" s="52"/>
      <c r="N1087" s="52"/>
      <c r="O1087" s="52"/>
      <c r="P1087" s="52"/>
      <c r="Q1087" s="52"/>
      <c r="R1087" s="52"/>
      <c r="S1087" s="52"/>
      <c r="T1087" s="52"/>
      <c r="U1087" s="52"/>
      <c r="V1087" s="52"/>
      <c r="W1087" s="52"/>
      <c r="X1087" s="52"/>
      <c r="Y1087" s="52"/>
      <c r="Z1087" s="52"/>
    </row>
    <row r="1088" spans="1:26" ht="15.75" customHeight="1">
      <c r="A1088" s="52"/>
      <c r="B1088" s="52"/>
      <c r="C1088" s="52"/>
      <c r="D1088" s="52"/>
      <c r="E1088" s="52"/>
      <c r="F1088" s="71"/>
      <c r="G1088" s="52"/>
      <c r="H1088" s="52"/>
      <c r="I1088" s="52"/>
      <c r="J1088" s="52"/>
      <c r="K1088" s="52"/>
      <c r="L1088" s="52"/>
      <c r="M1088" s="52"/>
      <c r="N1088" s="52"/>
      <c r="O1088" s="52"/>
      <c r="P1088" s="52"/>
      <c r="Q1088" s="52"/>
      <c r="R1088" s="52"/>
      <c r="S1088" s="52"/>
      <c r="T1088" s="52"/>
      <c r="U1088" s="52"/>
      <c r="V1088" s="52"/>
      <c r="W1088" s="52"/>
      <c r="X1088" s="52"/>
      <c r="Y1088" s="52"/>
      <c r="Z1088" s="52"/>
    </row>
    <row r="1089" spans="1:26" ht="15.75" customHeight="1">
      <c r="A1089" s="52"/>
      <c r="B1089" s="52"/>
      <c r="C1089" s="52"/>
      <c r="D1089" s="52"/>
      <c r="E1089" s="52"/>
      <c r="F1089" s="71"/>
      <c r="G1089" s="52"/>
      <c r="H1089" s="52"/>
      <c r="I1089" s="52"/>
      <c r="J1089" s="52"/>
      <c r="K1089" s="52"/>
      <c r="L1089" s="52"/>
      <c r="M1089" s="52"/>
      <c r="N1089" s="52"/>
      <c r="O1089" s="52"/>
      <c r="P1089" s="52"/>
      <c r="Q1089" s="52"/>
      <c r="R1089" s="52"/>
      <c r="S1089" s="52"/>
      <c r="T1089" s="52"/>
      <c r="U1089" s="52"/>
      <c r="V1089" s="52"/>
      <c r="W1089" s="52"/>
      <c r="X1089" s="52"/>
      <c r="Y1089" s="52"/>
      <c r="Z1089" s="52"/>
    </row>
    <row r="1090" spans="1:26" ht="15.75" customHeight="1">
      <c r="A1090" s="52"/>
      <c r="B1090" s="52"/>
      <c r="C1090" s="52"/>
      <c r="D1090" s="52"/>
      <c r="E1090" s="52"/>
      <c r="F1090" s="71"/>
      <c r="G1090" s="52"/>
      <c r="H1090" s="52"/>
      <c r="I1090" s="52"/>
      <c r="J1090" s="52"/>
      <c r="K1090" s="52"/>
      <c r="L1090" s="52"/>
      <c r="M1090" s="52"/>
      <c r="N1090" s="52"/>
      <c r="O1090" s="52"/>
      <c r="P1090" s="52"/>
      <c r="Q1090" s="52"/>
      <c r="R1090" s="52"/>
      <c r="S1090" s="52"/>
      <c r="T1090" s="52"/>
      <c r="U1090" s="52"/>
      <c r="V1090" s="52"/>
      <c r="W1090" s="52"/>
      <c r="X1090" s="52"/>
      <c r="Y1090" s="52"/>
      <c r="Z1090" s="52"/>
    </row>
    <row r="1091" spans="1:26" ht="15.75" customHeight="1">
      <c r="A1091" s="52"/>
      <c r="B1091" s="52"/>
      <c r="C1091" s="52"/>
      <c r="D1091" s="52"/>
      <c r="E1091" s="52"/>
      <c r="F1091" s="71"/>
      <c r="G1091" s="52"/>
      <c r="H1091" s="52"/>
      <c r="I1091" s="52"/>
      <c r="J1091" s="52"/>
      <c r="K1091" s="52"/>
      <c r="L1091" s="52"/>
      <c r="M1091" s="52"/>
      <c r="N1091" s="52"/>
      <c r="O1091" s="52"/>
      <c r="P1091" s="52"/>
      <c r="Q1091" s="52"/>
      <c r="R1091" s="52"/>
      <c r="S1091" s="52"/>
      <c r="T1091" s="52"/>
      <c r="U1091" s="52"/>
      <c r="V1091" s="52"/>
      <c r="W1091" s="52"/>
      <c r="X1091" s="52"/>
      <c r="Y1091" s="52"/>
      <c r="Z1091" s="52"/>
    </row>
    <row r="1092" spans="1:26" ht="15.75" customHeight="1">
      <c r="A1092" s="52"/>
      <c r="B1092" s="52"/>
      <c r="C1092" s="52"/>
      <c r="D1092" s="52"/>
      <c r="E1092" s="52"/>
      <c r="F1092" s="71"/>
      <c r="G1092" s="52"/>
      <c r="H1092" s="52"/>
      <c r="I1092" s="52"/>
      <c r="J1092" s="52"/>
      <c r="K1092" s="52"/>
      <c r="L1092" s="52"/>
      <c r="M1092" s="52"/>
      <c r="N1092" s="52"/>
      <c r="O1092" s="52"/>
      <c r="P1092" s="52"/>
      <c r="Q1092" s="52"/>
      <c r="R1092" s="52"/>
      <c r="S1092" s="52"/>
      <c r="T1092" s="52"/>
      <c r="U1092" s="52"/>
      <c r="V1092" s="52"/>
      <c r="W1092" s="52"/>
      <c r="X1092" s="52"/>
      <c r="Y1092" s="52"/>
      <c r="Z1092" s="52"/>
    </row>
    <row r="1093" spans="1:26" ht="15.75" customHeight="1">
      <c r="A1093" s="52"/>
      <c r="B1093" s="52"/>
      <c r="C1093" s="52"/>
      <c r="D1093" s="52"/>
      <c r="E1093" s="52"/>
      <c r="F1093" s="71"/>
      <c r="G1093" s="52"/>
      <c r="H1093" s="52"/>
      <c r="I1093" s="52"/>
      <c r="J1093" s="52"/>
      <c r="K1093" s="52"/>
      <c r="L1093" s="52"/>
      <c r="M1093" s="52"/>
      <c r="N1093" s="52"/>
      <c r="O1093" s="52"/>
      <c r="P1093" s="52"/>
      <c r="Q1093" s="52"/>
      <c r="R1093" s="52"/>
      <c r="S1093" s="52"/>
      <c r="T1093" s="52"/>
      <c r="U1093" s="52"/>
      <c r="V1093" s="52"/>
      <c r="W1093" s="52"/>
      <c r="X1093" s="52"/>
      <c r="Y1093" s="52"/>
      <c r="Z1093" s="52"/>
    </row>
    <row r="1094" spans="1:26" ht="15.75" customHeight="1">
      <c r="A1094" s="52"/>
      <c r="B1094" s="52"/>
      <c r="C1094" s="52"/>
      <c r="D1094" s="52"/>
      <c r="E1094" s="52"/>
      <c r="F1094" s="71"/>
      <c r="G1094" s="52"/>
      <c r="H1094" s="52"/>
      <c r="I1094" s="52"/>
      <c r="J1094" s="52"/>
      <c r="K1094" s="52"/>
      <c r="L1094" s="52"/>
      <c r="M1094" s="52"/>
      <c r="N1094" s="52"/>
      <c r="O1094" s="52"/>
      <c r="P1094" s="52"/>
      <c r="Q1094" s="52"/>
      <c r="R1094" s="52"/>
      <c r="S1094" s="52"/>
      <c r="T1094" s="52"/>
      <c r="U1094" s="52"/>
      <c r="V1094" s="52"/>
      <c r="W1094" s="52"/>
      <c r="X1094" s="52"/>
      <c r="Y1094" s="52"/>
      <c r="Z1094" s="52"/>
    </row>
    <row r="1095" spans="1:26" ht="15.75" customHeight="1">
      <c r="A1095" s="52"/>
      <c r="B1095" s="52"/>
      <c r="C1095" s="52"/>
      <c r="D1095" s="52"/>
      <c r="E1095" s="52"/>
      <c r="F1095" s="71"/>
      <c r="G1095" s="52"/>
      <c r="H1095" s="52"/>
      <c r="I1095" s="52"/>
      <c r="J1095" s="52"/>
      <c r="K1095" s="52"/>
      <c r="L1095" s="52"/>
      <c r="M1095" s="52"/>
      <c r="N1095" s="52"/>
      <c r="O1095" s="52"/>
      <c r="P1095" s="52"/>
      <c r="Q1095" s="52"/>
      <c r="R1095" s="52"/>
      <c r="S1095" s="52"/>
      <c r="T1095" s="52"/>
      <c r="U1095" s="52"/>
      <c r="V1095" s="52"/>
      <c r="W1095" s="52"/>
      <c r="X1095" s="52"/>
      <c r="Y1095" s="52"/>
      <c r="Z1095" s="52"/>
    </row>
    <row r="1096" spans="1:26" ht="15.75" customHeight="1">
      <c r="A1096" s="52"/>
      <c r="B1096" s="52"/>
      <c r="C1096" s="52"/>
      <c r="D1096" s="52"/>
      <c r="E1096" s="52"/>
      <c r="F1096" s="71"/>
      <c r="G1096" s="52"/>
      <c r="H1096" s="52"/>
      <c r="I1096" s="52"/>
      <c r="J1096" s="52"/>
      <c r="K1096" s="52"/>
      <c r="L1096" s="52"/>
      <c r="M1096" s="52"/>
      <c r="N1096" s="52"/>
      <c r="O1096" s="52"/>
      <c r="P1096" s="52"/>
      <c r="Q1096" s="52"/>
      <c r="R1096" s="52"/>
      <c r="S1096" s="52"/>
      <c r="T1096" s="52"/>
      <c r="U1096" s="52"/>
      <c r="V1096" s="52"/>
      <c r="W1096" s="52"/>
      <c r="X1096" s="52"/>
      <c r="Y1096" s="52"/>
      <c r="Z1096" s="52"/>
    </row>
    <row r="1097" spans="1:26" ht="15.75" customHeight="1">
      <c r="A1097" s="52"/>
      <c r="B1097" s="52"/>
      <c r="C1097" s="52"/>
      <c r="D1097" s="52"/>
      <c r="E1097" s="52"/>
      <c r="F1097" s="71"/>
      <c r="G1097" s="52"/>
      <c r="H1097" s="52"/>
      <c r="I1097" s="52"/>
      <c r="J1097" s="52"/>
      <c r="K1097" s="52"/>
      <c r="L1097" s="52"/>
      <c r="M1097" s="52"/>
      <c r="N1097" s="52"/>
      <c r="O1097" s="52"/>
      <c r="P1097" s="52"/>
      <c r="Q1097" s="52"/>
      <c r="R1097" s="52"/>
      <c r="S1097" s="52"/>
      <c r="T1097" s="52"/>
      <c r="U1097" s="52"/>
      <c r="V1097" s="52"/>
      <c r="W1097" s="52"/>
      <c r="X1097" s="52"/>
      <c r="Y1097" s="52"/>
      <c r="Z1097" s="52"/>
    </row>
    <row r="1098" spans="1:26" ht="15.75" customHeight="1">
      <c r="A1098" s="52"/>
      <c r="B1098" s="52"/>
      <c r="C1098" s="52"/>
      <c r="D1098" s="52"/>
      <c r="E1098" s="52"/>
      <c r="F1098" s="71"/>
      <c r="G1098" s="52"/>
      <c r="H1098" s="52"/>
      <c r="I1098" s="52"/>
      <c r="J1098" s="52"/>
      <c r="K1098" s="52"/>
      <c r="L1098" s="52"/>
      <c r="M1098" s="52"/>
      <c r="N1098" s="52"/>
      <c r="O1098" s="52"/>
      <c r="P1098" s="52"/>
      <c r="Q1098" s="52"/>
      <c r="R1098" s="52"/>
      <c r="S1098" s="52"/>
      <c r="T1098" s="52"/>
      <c r="U1098" s="52"/>
      <c r="V1098" s="52"/>
      <c r="W1098" s="52"/>
      <c r="X1098" s="52"/>
      <c r="Y1098" s="52"/>
      <c r="Z1098" s="52"/>
    </row>
    <row r="1099" spans="1:26" ht="15.75" customHeight="1">
      <c r="A1099" s="52"/>
      <c r="B1099" s="52"/>
      <c r="C1099" s="52"/>
      <c r="D1099" s="52"/>
      <c r="E1099" s="52"/>
      <c r="F1099" s="71"/>
      <c r="G1099" s="52"/>
      <c r="H1099" s="52"/>
      <c r="I1099" s="52"/>
      <c r="J1099" s="52"/>
      <c r="K1099" s="52"/>
      <c r="L1099" s="52"/>
      <c r="M1099" s="52"/>
      <c r="N1099" s="52"/>
      <c r="O1099" s="52"/>
      <c r="P1099" s="52"/>
      <c r="Q1099" s="52"/>
      <c r="R1099" s="52"/>
      <c r="S1099" s="52"/>
      <c r="T1099" s="52"/>
      <c r="U1099" s="52"/>
      <c r="V1099" s="52"/>
      <c r="W1099" s="52"/>
      <c r="X1099" s="52"/>
      <c r="Y1099" s="52"/>
      <c r="Z1099" s="52"/>
    </row>
    <row r="1100" spans="1:26" ht="15.75" customHeight="1">
      <c r="A1100" s="52"/>
      <c r="B1100" s="52"/>
      <c r="C1100" s="52"/>
      <c r="D1100" s="52"/>
      <c r="E1100" s="52"/>
      <c r="F1100" s="71"/>
      <c r="G1100" s="52"/>
      <c r="H1100" s="52"/>
      <c r="I1100" s="52"/>
      <c r="J1100" s="52"/>
      <c r="K1100" s="52"/>
      <c r="L1100" s="52"/>
      <c r="M1100" s="52"/>
      <c r="N1100" s="52"/>
      <c r="O1100" s="52"/>
      <c r="P1100" s="52"/>
      <c r="Q1100" s="52"/>
      <c r="R1100" s="52"/>
      <c r="S1100" s="52"/>
      <c r="T1100" s="52"/>
      <c r="U1100" s="52"/>
      <c r="V1100" s="52"/>
      <c r="W1100" s="52"/>
      <c r="X1100" s="52"/>
      <c r="Y1100" s="52"/>
      <c r="Z1100" s="52"/>
    </row>
    <row r="1101" spans="1:26" ht="15.75" customHeight="1">
      <c r="A1101" s="52"/>
      <c r="B1101" s="52"/>
      <c r="C1101" s="52"/>
      <c r="D1101" s="52"/>
      <c r="E1101" s="52"/>
      <c r="F1101" s="71"/>
      <c r="G1101" s="52"/>
      <c r="H1101" s="52"/>
      <c r="I1101" s="52"/>
      <c r="J1101" s="52"/>
      <c r="K1101" s="52"/>
      <c r="L1101" s="52"/>
      <c r="M1101" s="52"/>
      <c r="N1101" s="52"/>
      <c r="O1101" s="52"/>
      <c r="P1101" s="52"/>
      <c r="Q1101" s="52"/>
      <c r="R1101" s="52"/>
      <c r="S1101" s="52"/>
      <c r="T1101" s="52"/>
      <c r="U1101" s="52"/>
      <c r="V1101" s="52"/>
      <c r="W1101" s="52"/>
      <c r="X1101" s="52"/>
      <c r="Y1101" s="52"/>
      <c r="Z1101" s="52"/>
    </row>
    <row r="1102" spans="1:26" ht="15.75" customHeight="1">
      <c r="A1102" s="52"/>
      <c r="B1102" s="52"/>
      <c r="C1102" s="52"/>
      <c r="D1102" s="52"/>
      <c r="E1102" s="52"/>
      <c r="F1102" s="71"/>
      <c r="G1102" s="52"/>
      <c r="H1102" s="52"/>
      <c r="I1102" s="52"/>
      <c r="J1102" s="52"/>
      <c r="K1102" s="52"/>
      <c r="L1102" s="52"/>
      <c r="M1102" s="52"/>
      <c r="N1102" s="52"/>
      <c r="O1102" s="52"/>
      <c r="P1102" s="52"/>
      <c r="Q1102" s="52"/>
      <c r="R1102" s="52"/>
      <c r="S1102" s="52"/>
      <c r="T1102" s="52"/>
      <c r="U1102" s="52"/>
      <c r="V1102" s="52"/>
      <c r="W1102" s="52"/>
      <c r="X1102" s="52"/>
      <c r="Y1102" s="52"/>
      <c r="Z1102" s="52"/>
    </row>
    <row r="1103" spans="1:26" ht="15.75" customHeight="1">
      <c r="A1103" s="52"/>
      <c r="B1103" s="52"/>
      <c r="C1103" s="52"/>
      <c r="D1103" s="52"/>
      <c r="E1103" s="52"/>
      <c r="F1103" s="71"/>
      <c r="G1103" s="52"/>
      <c r="H1103" s="52"/>
      <c r="I1103" s="52"/>
      <c r="J1103" s="52"/>
      <c r="K1103" s="52"/>
      <c r="L1103" s="52"/>
      <c r="M1103" s="52"/>
      <c r="N1103" s="52"/>
      <c r="O1103" s="52"/>
      <c r="P1103" s="52"/>
      <c r="Q1103" s="52"/>
      <c r="R1103" s="52"/>
      <c r="S1103" s="52"/>
      <c r="T1103" s="52"/>
      <c r="U1103" s="52"/>
      <c r="V1103" s="52"/>
      <c r="W1103" s="52"/>
      <c r="X1103" s="52"/>
      <c r="Y1103" s="52"/>
      <c r="Z1103" s="52"/>
    </row>
    <row r="1104" spans="1:26" ht="15.75" customHeight="1">
      <c r="A1104" s="52"/>
      <c r="B1104" s="52"/>
      <c r="C1104" s="52"/>
      <c r="D1104" s="52"/>
      <c r="E1104" s="52"/>
      <c r="F1104" s="71"/>
      <c r="G1104" s="52"/>
      <c r="H1104" s="52"/>
      <c r="I1104" s="52"/>
      <c r="J1104" s="52"/>
      <c r="K1104" s="52"/>
      <c r="L1104" s="52"/>
      <c r="M1104" s="52"/>
      <c r="N1104" s="52"/>
      <c r="O1104" s="52"/>
      <c r="P1104" s="52"/>
      <c r="Q1104" s="52"/>
      <c r="R1104" s="52"/>
      <c r="S1104" s="52"/>
      <c r="T1104" s="52"/>
      <c r="U1104" s="52"/>
      <c r="V1104" s="52"/>
      <c r="W1104" s="52"/>
      <c r="X1104" s="52"/>
      <c r="Y1104" s="52"/>
      <c r="Z1104" s="52"/>
    </row>
    <row r="1105" spans="1:26" ht="15.75" customHeight="1">
      <c r="A1105" s="52"/>
      <c r="B1105" s="52"/>
      <c r="C1105" s="52"/>
      <c r="D1105" s="52"/>
      <c r="E1105" s="52"/>
      <c r="F1105" s="71"/>
      <c r="G1105" s="52"/>
      <c r="H1105" s="52"/>
      <c r="I1105" s="52"/>
      <c r="J1105" s="52"/>
      <c r="K1105" s="52"/>
      <c r="L1105" s="52"/>
      <c r="M1105" s="52"/>
      <c r="N1105" s="52"/>
      <c r="O1105" s="52"/>
      <c r="P1105" s="52"/>
      <c r="Q1105" s="52"/>
      <c r="R1105" s="52"/>
      <c r="S1105" s="52"/>
      <c r="T1105" s="52"/>
      <c r="U1105" s="52"/>
      <c r="V1105" s="52"/>
      <c r="W1105" s="52"/>
      <c r="X1105" s="52"/>
      <c r="Y1105" s="52"/>
      <c r="Z1105" s="52"/>
    </row>
    <row r="1106" spans="1:26" ht="15.75" customHeight="1">
      <c r="A1106" s="52"/>
      <c r="B1106" s="52"/>
      <c r="C1106" s="52"/>
      <c r="D1106" s="52"/>
      <c r="E1106" s="52"/>
      <c r="F1106" s="71"/>
      <c r="G1106" s="52"/>
      <c r="H1106" s="52"/>
      <c r="I1106" s="52"/>
      <c r="J1106" s="52"/>
      <c r="K1106" s="52"/>
      <c r="L1106" s="52"/>
      <c r="M1106" s="52"/>
      <c r="N1106" s="52"/>
      <c r="O1106" s="52"/>
      <c r="P1106" s="52"/>
      <c r="Q1106" s="52"/>
      <c r="R1106" s="52"/>
      <c r="S1106" s="52"/>
      <c r="T1106" s="52"/>
      <c r="U1106" s="52"/>
      <c r="V1106" s="52"/>
      <c r="W1106" s="52"/>
      <c r="X1106" s="52"/>
      <c r="Y1106" s="52"/>
      <c r="Z1106" s="52"/>
    </row>
    <row r="1107" spans="1:26" ht="15.75" customHeight="1">
      <c r="A1107" s="52"/>
      <c r="B1107" s="52"/>
      <c r="C1107" s="52"/>
      <c r="D1107" s="52"/>
      <c r="E1107" s="52"/>
      <c r="F1107" s="71"/>
      <c r="G1107" s="52"/>
      <c r="H1107" s="52"/>
      <c r="I1107" s="52"/>
      <c r="J1107" s="52"/>
      <c r="K1107" s="52"/>
      <c r="L1107" s="52"/>
      <c r="M1107" s="52"/>
      <c r="N1107" s="52"/>
      <c r="O1107" s="52"/>
      <c r="P1107" s="52"/>
      <c r="Q1107" s="52"/>
      <c r="R1107" s="52"/>
      <c r="S1107" s="52"/>
      <c r="T1107" s="52"/>
      <c r="U1107" s="52"/>
      <c r="V1107" s="52"/>
      <c r="W1107" s="52"/>
      <c r="X1107" s="52"/>
      <c r="Y1107" s="52"/>
      <c r="Z1107" s="52"/>
    </row>
    <row r="1108" spans="1:26" ht="15.75" customHeight="1">
      <c r="A1108" s="52"/>
      <c r="B1108" s="52"/>
      <c r="C1108" s="52"/>
      <c r="D1108" s="52"/>
      <c r="E1108" s="52"/>
      <c r="F1108" s="71"/>
      <c r="G1108" s="52"/>
      <c r="H1108" s="52"/>
      <c r="I1108" s="52"/>
      <c r="J1108" s="52"/>
      <c r="K1108" s="52"/>
      <c r="L1108" s="52"/>
      <c r="M1108" s="52"/>
      <c r="N1108" s="52"/>
      <c r="O1108" s="52"/>
      <c r="P1108" s="52"/>
      <c r="Q1108" s="52"/>
      <c r="R1108" s="52"/>
      <c r="S1108" s="52"/>
      <c r="T1108" s="52"/>
      <c r="U1108" s="52"/>
      <c r="V1108" s="52"/>
      <c r="W1108" s="52"/>
      <c r="X1108" s="52"/>
      <c r="Y1108" s="52"/>
      <c r="Z1108" s="52"/>
    </row>
    <row r="1109" spans="1:26" ht="15.75" customHeight="1">
      <c r="A1109" s="52"/>
      <c r="B1109" s="52"/>
      <c r="C1109" s="52"/>
      <c r="D1109" s="52"/>
      <c r="E1109" s="52"/>
      <c r="F1109" s="71"/>
      <c r="G1109" s="52"/>
      <c r="H1109" s="52"/>
      <c r="I1109" s="52"/>
      <c r="J1109" s="52"/>
      <c r="K1109" s="52"/>
      <c r="L1109" s="52"/>
      <c r="M1109" s="52"/>
      <c r="N1109" s="52"/>
      <c r="O1109" s="52"/>
      <c r="P1109" s="52"/>
      <c r="Q1109" s="52"/>
      <c r="R1109" s="52"/>
      <c r="S1109" s="52"/>
      <c r="T1109" s="52"/>
      <c r="U1109" s="52"/>
      <c r="V1109" s="52"/>
      <c r="W1109" s="52"/>
      <c r="X1109" s="52"/>
      <c r="Y1109" s="52"/>
      <c r="Z1109" s="52"/>
    </row>
    <row r="1110" spans="1:26" ht="15.75" customHeight="1">
      <c r="A1110" s="52"/>
      <c r="B1110" s="52"/>
      <c r="C1110" s="52"/>
      <c r="D1110" s="52"/>
      <c r="E1110" s="52"/>
      <c r="F1110" s="71"/>
      <c r="G1110" s="52"/>
      <c r="H1110" s="52"/>
      <c r="I1110" s="52"/>
      <c r="J1110" s="52"/>
      <c r="K1110" s="52"/>
      <c r="L1110" s="52"/>
      <c r="M1110" s="52"/>
      <c r="N1110" s="52"/>
      <c r="O1110" s="52"/>
      <c r="P1110" s="52"/>
      <c r="Q1110" s="52"/>
      <c r="R1110" s="52"/>
      <c r="S1110" s="52"/>
      <c r="T1110" s="52"/>
      <c r="U1110" s="52"/>
      <c r="V1110" s="52"/>
      <c r="W1110" s="52"/>
      <c r="X1110" s="52"/>
      <c r="Y1110" s="52"/>
      <c r="Z1110" s="52"/>
    </row>
    <row r="1111" spans="1:26" ht="15.75" customHeight="1">
      <c r="A1111" s="52"/>
      <c r="B1111" s="52"/>
      <c r="C1111" s="52"/>
      <c r="D1111" s="52"/>
      <c r="E1111" s="52"/>
      <c r="F1111" s="71"/>
      <c r="G1111" s="52"/>
      <c r="H1111" s="52"/>
      <c r="I1111" s="52"/>
      <c r="J1111" s="52"/>
      <c r="K1111" s="52"/>
      <c r="L1111" s="52"/>
      <c r="M1111" s="52"/>
      <c r="N1111" s="52"/>
      <c r="O1111" s="52"/>
      <c r="P1111" s="52"/>
      <c r="Q1111" s="52"/>
      <c r="R1111" s="52"/>
      <c r="S1111" s="52"/>
      <c r="T1111" s="52"/>
      <c r="U1111" s="52"/>
      <c r="V1111" s="52"/>
      <c r="W1111" s="52"/>
      <c r="X1111" s="52"/>
      <c r="Y1111" s="52"/>
      <c r="Z1111" s="52"/>
    </row>
    <row r="1112" spans="1:26" ht="15.75" customHeight="1">
      <c r="A1112" s="52"/>
      <c r="B1112" s="52"/>
      <c r="C1112" s="52"/>
      <c r="D1112" s="52"/>
      <c r="E1112" s="52"/>
      <c r="F1112" s="71"/>
      <c r="G1112" s="52"/>
      <c r="H1112" s="52"/>
      <c r="I1112" s="52"/>
      <c r="J1112" s="52"/>
      <c r="K1112" s="52"/>
      <c r="L1112" s="52"/>
      <c r="M1112" s="52"/>
      <c r="N1112" s="52"/>
      <c r="O1112" s="52"/>
      <c r="P1112" s="52"/>
      <c r="Q1112" s="52"/>
      <c r="R1112" s="52"/>
      <c r="S1112" s="52"/>
      <c r="T1112" s="52"/>
      <c r="U1112" s="52"/>
      <c r="V1112" s="52"/>
      <c r="W1112" s="52"/>
      <c r="X1112" s="52"/>
      <c r="Y1112" s="52"/>
      <c r="Z1112" s="52"/>
    </row>
    <row r="1113" spans="1:26" ht="15.75" customHeight="1">
      <c r="A1113" s="52"/>
      <c r="B1113" s="52"/>
      <c r="C1113" s="52"/>
      <c r="D1113" s="52"/>
      <c r="E1113" s="52"/>
      <c r="F1113" s="71"/>
      <c r="G1113" s="52"/>
      <c r="H1113" s="52"/>
      <c r="I1113" s="52"/>
      <c r="J1113" s="52"/>
      <c r="K1113" s="52"/>
      <c r="L1113" s="52"/>
      <c r="M1113" s="52"/>
      <c r="N1113" s="52"/>
      <c r="O1113" s="52"/>
      <c r="P1113" s="52"/>
      <c r="Q1113" s="52"/>
      <c r="R1113" s="52"/>
      <c r="S1113" s="52"/>
      <c r="T1113" s="52"/>
      <c r="U1113" s="52"/>
      <c r="V1113" s="52"/>
      <c r="W1113" s="52"/>
      <c r="X1113" s="52"/>
      <c r="Y1113" s="52"/>
      <c r="Z1113" s="52"/>
    </row>
    <row r="1114" spans="1:26" ht="15.75" customHeight="1">
      <c r="A1114" s="52"/>
      <c r="B1114" s="52"/>
      <c r="C1114" s="52"/>
      <c r="D1114" s="52"/>
      <c r="E1114" s="52"/>
      <c r="F1114" s="71"/>
      <c r="G1114" s="52"/>
      <c r="H1114" s="52"/>
      <c r="I1114" s="52"/>
      <c r="J1114" s="52"/>
      <c r="K1114" s="52"/>
      <c r="L1114" s="52"/>
      <c r="M1114" s="52"/>
      <c r="N1114" s="52"/>
      <c r="O1114" s="52"/>
      <c r="P1114" s="52"/>
      <c r="Q1114" s="52"/>
      <c r="R1114" s="52"/>
      <c r="S1114" s="52"/>
      <c r="T1114" s="52"/>
      <c r="U1114" s="52"/>
      <c r="V1114" s="52"/>
      <c r="W1114" s="52"/>
      <c r="X1114" s="52"/>
      <c r="Y1114" s="52"/>
      <c r="Z1114" s="52"/>
    </row>
    <row r="1115" spans="1:26" ht="15.75" customHeight="1">
      <c r="A1115" s="52"/>
      <c r="B1115" s="52"/>
      <c r="C1115" s="52"/>
      <c r="D1115" s="52"/>
      <c r="E1115" s="52"/>
      <c r="F1115" s="71"/>
      <c r="G1115" s="52"/>
      <c r="H1115" s="52"/>
      <c r="I1115" s="52"/>
      <c r="J1115" s="52"/>
      <c r="K1115" s="52"/>
      <c r="L1115" s="52"/>
      <c r="M1115" s="52"/>
      <c r="N1115" s="52"/>
      <c r="O1115" s="52"/>
      <c r="P1115" s="52"/>
      <c r="Q1115" s="52"/>
      <c r="R1115" s="52"/>
      <c r="S1115" s="52"/>
      <c r="T1115" s="52"/>
      <c r="U1115" s="52"/>
      <c r="V1115" s="52"/>
      <c r="W1115" s="52"/>
      <c r="X1115" s="52"/>
      <c r="Y1115" s="52"/>
      <c r="Z1115" s="52"/>
    </row>
    <row r="1116" spans="1:26" ht="15.75" customHeight="1">
      <c r="A1116" s="52"/>
      <c r="B1116" s="52"/>
      <c r="C1116" s="52"/>
      <c r="D1116" s="52"/>
      <c r="E1116" s="52"/>
      <c r="F1116" s="71"/>
      <c r="G1116" s="52"/>
      <c r="H1116" s="52"/>
      <c r="I1116" s="52"/>
      <c r="J1116" s="52"/>
      <c r="K1116" s="52"/>
      <c r="L1116" s="52"/>
      <c r="M1116" s="52"/>
      <c r="N1116" s="52"/>
      <c r="O1116" s="52"/>
      <c r="P1116" s="52"/>
      <c r="Q1116" s="52"/>
      <c r="R1116" s="52"/>
      <c r="S1116" s="52"/>
      <c r="T1116" s="52"/>
      <c r="U1116" s="52"/>
      <c r="V1116" s="52"/>
      <c r="W1116" s="52"/>
      <c r="X1116" s="52"/>
      <c r="Y1116" s="52"/>
      <c r="Z1116" s="52"/>
    </row>
    <row r="1117" spans="1:26" ht="15.75" customHeight="1">
      <c r="A1117" s="52"/>
      <c r="B1117" s="52"/>
      <c r="C1117" s="52"/>
      <c r="D1117" s="52"/>
      <c r="E1117" s="52"/>
      <c r="F1117" s="71"/>
      <c r="G1117" s="52"/>
      <c r="H1117" s="52"/>
      <c r="I1117" s="52"/>
      <c r="J1117" s="52"/>
      <c r="K1117" s="52"/>
      <c r="L1117" s="52"/>
      <c r="M1117" s="52"/>
      <c r="N1117" s="52"/>
      <c r="O1117" s="52"/>
      <c r="P1117" s="52"/>
      <c r="Q1117" s="52"/>
      <c r="R1117" s="52"/>
      <c r="S1117" s="52"/>
      <c r="T1117" s="52"/>
      <c r="U1117" s="52"/>
      <c r="V1117" s="52"/>
      <c r="W1117" s="52"/>
      <c r="X1117" s="52"/>
      <c r="Y1117" s="52"/>
      <c r="Z1117" s="52"/>
    </row>
    <row r="1118" spans="1:26" ht="15.75" customHeight="1">
      <c r="A1118" s="52"/>
      <c r="B1118" s="52"/>
      <c r="C1118" s="52"/>
      <c r="D1118" s="52"/>
      <c r="E1118" s="52"/>
      <c r="F1118" s="71"/>
      <c r="G1118" s="52"/>
      <c r="H1118" s="52"/>
      <c r="I1118" s="52"/>
      <c r="J1118" s="52"/>
      <c r="K1118" s="52"/>
      <c r="L1118" s="52"/>
      <c r="M1118" s="52"/>
      <c r="N1118" s="52"/>
      <c r="O1118" s="52"/>
      <c r="P1118" s="52"/>
      <c r="Q1118" s="52"/>
      <c r="R1118" s="52"/>
      <c r="S1118" s="52"/>
      <c r="T1118" s="52"/>
      <c r="U1118" s="52"/>
      <c r="V1118" s="52"/>
      <c r="W1118" s="52"/>
      <c r="X1118" s="52"/>
      <c r="Y1118" s="52"/>
      <c r="Z1118" s="52"/>
    </row>
    <row r="1119" spans="1:26" ht="15.75" customHeight="1">
      <c r="A1119" s="52"/>
      <c r="B1119" s="52"/>
      <c r="C1119" s="52"/>
      <c r="D1119" s="52"/>
      <c r="E1119" s="52"/>
      <c r="F1119" s="71"/>
      <c r="G1119" s="52"/>
      <c r="H1119" s="52"/>
      <c r="I1119" s="52"/>
      <c r="J1119" s="52"/>
      <c r="K1119" s="52"/>
      <c r="L1119" s="52"/>
      <c r="M1119" s="52"/>
      <c r="N1119" s="52"/>
      <c r="O1119" s="52"/>
      <c r="P1119" s="52"/>
      <c r="Q1119" s="52"/>
      <c r="R1119" s="52"/>
      <c r="S1119" s="52"/>
      <c r="T1119" s="52"/>
      <c r="U1119" s="52"/>
      <c r="V1119" s="52"/>
      <c r="W1119" s="52"/>
      <c r="X1119" s="52"/>
      <c r="Y1119" s="52"/>
      <c r="Z1119" s="52"/>
    </row>
    <row r="1120" spans="1:26" ht="15.75" customHeight="1">
      <c r="A1120" s="52"/>
      <c r="B1120" s="52"/>
      <c r="C1120" s="52"/>
      <c r="D1120" s="52"/>
      <c r="E1120" s="52"/>
      <c r="F1120" s="71"/>
      <c r="G1120" s="52"/>
      <c r="H1120" s="52"/>
      <c r="I1120" s="52"/>
      <c r="J1120" s="52"/>
      <c r="K1120" s="52"/>
      <c r="L1120" s="52"/>
      <c r="M1120" s="52"/>
      <c r="N1120" s="52"/>
      <c r="O1120" s="52"/>
      <c r="P1120" s="52"/>
      <c r="Q1120" s="52"/>
      <c r="R1120" s="52"/>
      <c r="S1120" s="52"/>
      <c r="T1120" s="52"/>
      <c r="U1120" s="52"/>
      <c r="V1120" s="52"/>
      <c r="W1120" s="52"/>
      <c r="X1120" s="52"/>
      <c r="Y1120" s="52"/>
      <c r="Z1120" s="52"/>
    </row>
    <row r="1121" spans="1:26" ht="15.75" customHeight="1">
      <c r="A1121" s="52"/>
      <c r="B1121" s="52"/>
      <c r="C1121" s="52"/>
      <c r="D1121" s="52"/>
      <c r="E1121" s="52"/>
      <c r="F1121" s="71"/>
      <c r="G1121" s="52"/>
      <c r="H1121" s="52"/>
      <c r="I1121" s="52"/>
      <c r="J1121" s="52"/>
      <c r="K1121" s="52"/>
      <c r="L1121" s="52"/>
      <c r="M1121" s="52"/>
      <c r="N1121" s="52"/>
      <c r="O1121" s="52"/>
      <c r="P1121" s="52"/>
      <c r="Q1121" s="52"/>
      <c r="R1121" s="52"/>
      <c r="S1121" s="52"/>
      <c r="T1121" s="52"/>
      <c r="U1121" s="52"/>
      <c r="V1121" s="52"/>
      <c r="W1121" s="52"/>
      <c r="X1121" s="52"/>
      <c r="Y1121" s="52"/>
      <c r="Z1121" s="52"/>
    </row>
    <row r="1122" spans="1:26" ht="15.75" customHeight="1">
      <c r="A1122" s="52"/>
      <c r="B1122" s="52"/>
      <c r="C1122" s="52"/>
      <c r="D1122" s="52"/>
      <c r="E1122" s="52"/>
      <c r="F1122" s="71"/>
      <c r="G1122" s="52"/>
      <c r="H1122" s="52"/>
      <c r="I1122" s="52"/>
      <c r="J1122" s="52"/>
      <c r="K1122" s="52"/>
      <c r="L1122" s="52"/>
      <c r="M1122" s="52"/>
      <c r="N1122" s="52"/>
      <c r="O1122" s="52"/>
      <c r="P1122" s="52"/>
      <c r="Q1122" s="52"/>
      <c r="R1122" s="52"/>
      <c r="S1122" s="52"/>
      <c r="T1122" s="52"/>
      <c r="U1122" s="52"/>
      <c r="V1122" s="52"/>
      <c r="W1122" s="52"/>
      <c r="X1122" s="52"/>
      <c r="Y1122" s="52"/>
      <c r="Z1122" s="52"/>
    </row>
    <row r="1123" spans="1:26" ht="15.75" customHeight="1">
      <c r="A1123" s="52"/>
      <c r="B1123" s="52"/>
      <c r="C1123" s="52"/>
      <c r="D1123" s="52"/>
      <c r="E1123" s="52"/>
      <c r="F1123" s="71"/>
      <c r="G1123" s="52"/>
      <c r="H1123" s="52"/>
      <c r="I1123" s="52"/>
      <c r="J1123" s="52"/>
      <c r="K1123" s="52"/>
      <c r="L1123" s="52"/>
      <c r="M1123" s="52"/>
      <c r="N1123" s="52"/>
      <c r="O1123" s="52"/>
      <c r="P1123" s="52"/>
      <c r="Q1123" s="52"/>
      <c r="R1123" s="52"/>
      <c r="S1123" s="52"/>
      <c r="T1123" s="52"/>
      <c r="U1123" s="52"/>
      <c r="V1123" s="52"/>
      <c r="W1123" s="52"/>
      <c r="X1123" s="52"/>
      <c r="Y1123" s="52"/>
      <c r="Z1123" s="52"/>
    </row>
    <row r="1124" spans="1:26" ht="15.75" customHeight="1">
      <c r="A1124" s="52"/>
      <c r="B1124" s="52"/>
      <c r="C1124" s="52"/>
      <c r="D1124" s="52"/>
      <c r="E1124" s="52"/>
      <c r="F1124" s="71"/>
      <c r="G1124" s="52"/>
      <c r="H1124" s="52"/>
      <c r="I1124" s="52"/>
      <c r="J1124" s="52"/>
      <c r="K1124" s="52"/>
      <c r="L1124" s="52"/>
      <c r="M1124" s="52"/>
      <c r="N1124" s="52"/>
      <c r="O1124" s="52"/>
      <c r="P1124" s="52"/>
      <c r="Q1124" s="52"/>
      <c r="R1124" s="52"/>
      <c r="S1124" s="52"/>
      <c r="T1124" s="52"/>
      <c r="U1124" s="52"/>
      <c r="V1124" s="52"/>
      <c r="W1124" s="52"/>
      <c r="X1124" s="52"/>
      <c r="Y1124" s="52"/>
      <c r="Z1124" s="52"/>
    </row>
    <row r="1125" spans="1:26" ht="15.75" customHeight="1">
      <c r="A1125" s="52"/>
      <c r="B1125" s="52"/>
      <c r="C1125" s="52"/>
      <c r="D1125" s="52"/>
      <c r="E1125" s="52"/>
      <c r="F1125" s="71"/>
      <c r="G1125" s="52"/>
      <c r="H1125" s="52"/>
      <c r="I1125" s="52"/>
      <c r="J1125" s="52"/>
      <c r="K1125" s="52"/>
      <c r="L1125" s="52"/>
      <c r="M1125" s="52"/>
      <c r="N1125" s="52"/>
      <c r="O1125" s="52"/>
      <c r="P1125" s="52"/>
      <c r="Q1125" s="52"/>
      <c r="R1125" s="52"/>
      <c r="S1125" s="52"/>
      <c r="T1125" s="52"/>
      <c r="U1125" s="52"/>
      <c r="V1125" s="52"/>
      <c r="W1125" s="52"/>
      <c r="X1125" s="52"/>
      <c r="Y1125" s="52"/>
      <c r="Z1125" s="52"/>
    </row>
    <row r="1126" spans="1:26" ht="15.75" customHeight="1">
      <c r="A1126" s="52"/>
      <c r="B1126" s="52"/>
      <c r="C1126" s="52"/>
      <c r="D1126" s="52"/>
      <c r="E1126" s="52"/>
      <c r="F1126" s="71"/>
      <c r="G1126" s="52"/>
      <c r="H1126" s="52"/>
      <c r="I1126" s="52"/>
      <c r="J1126" s="52"/>
      <c r="K1126" s="52"/>
      <c r="L1126" s="52"/>
      <c r="M1126" s="52"/>
      <c r="N1126" s="52"/>
      <c r="O1126" s="52"/>
      <c r="P1126" s="52"/>
      <c r="Q1126" s="52"/>
      <c r="R1126" s="52"/>
      <c r="S1126" s="52"/>
      <c r="T1126" s="52"/>
      <c r="U1126" s="52"/>
      <c r="V1126" s="52"/>
      <c r="W1126" s="52"/>
      <c r="X1126" s="52"/>
      <c r="Y1126" s="52"/>
      <c r="Z1126" s="52"/>
    </row>
    <row r="1127" spans="1:26" ht="15.75" customHeight="1">
      <c r="A1127" s="52"/>
      <c r="B1127" s="52"/>
      <c r="C1127" s="52"/>
      <c r="D1127" s="52"/>
      <c r="E1127" s="52"/>
      <c r="F1127" s="71"/>
      <c r="G1127" s="52"/>
      <c r="H1127" s="52"/>
      <c r="I1127" s="52"/>
      <c r="J1127" s="52"/>
      <c r="K1127" s="52"/>
      <c r="L1127" s="52"/>
      <c r="M1127" s="52"/>
      <c r="N1127" s="52"/>
      <c r="O1127" s="52"/>
      <c r="P1127" s="52"/>
      <c r="Q1127" s="52"/>
      <c r="R1127" s="52"/>
      <c r="S1127" s="52"/>
      <c r="T1127" s="52"/>
      <c r="U1127" s="52"/>
      <c r="V1127" s="52"/>
      <c r="W1127" s="52"/>
      <c r="X1127" s="52"/>
      <c r="Y1127" s="52"/>
      <c r="Z1127" s="52"/>
    </row>
    <row r="1128" spans="1:26" ht="15.75" customHeight="1">
      <c r="A1128" s="52"/>
      <c r="B1128" s="52"/>
      <c r="C1128" s="52"/>
      <c r="D1128" s="52"/>
      <c r="E1128" s="52"/>
      <c r="F1128" s="71"/>
      <c r="G1128" s="52"/>
      <c r="H1128" s="52"/>
      <c r="I1128" s="52"/>
      <c r="J1128" s="52"/>
      <c r="K1128" s="52"/>
      <c r="L1128" s="52"/>
      <c r="M1128" s="52"/>
      <c r="N1128" s="52"/>
      <c r="O1128" s="52"/>
      <c r="P1128" s="52"/>
      <c r="Q1128" s="52"/>
      <c r="R1128" s="52"/>
      <c r="S1128" s="52"/>
      <c r="T1128" s="52"/>
      <c r="U1128" s="52"/>
      <c r="V1128" s="52"/>
      <c r="W1128" s="52"/>
      <c r="X1128" s="52"/>
      <c r="Y1128" s="52"/>
      <c r="Z1128" s="52"/>
    </row>
    <row r="1129" spans="1:26" ht="15.75" customHeight="1">
      <c r="A1129" s="52"/>
      <c r="B1129" s="52"/>
      <c r="C1129" s="52"/>
      <c r="D1129" s="52"/>
      <c r="E1129" s="52"/>
      <c r="F1129" s="71"/>
      <c r="G1129" s="52"/>
      <c r="H1129" s="52"/>
      <c r="I1129" s="52"/>
      <c r="J1129" s="52"/>
      <c r="K1129" s="52"/>
      <c r="L1129" s="52"/>
      <c r="M1129" s="52"/>
      <c r="N1129" s="52"/>
      <c r="O1129" s="52"/>
      <c r="P1129" s="52"/>
      <c r="Q1129" s="52"/>
      <c r="R1129" s="52"/>
      <c r="S1129" s="52"/>
      <c r="T1129" s="52"/>
      <c r="U1129" s="52"/>
      <c r="V1129" s="52"/>
      <c r="W1129" s="52"/>
      <c r="X1129" s="52"/>
      <c r="Y1129" s="52"/>
      <c r="Z1129" s="52"/>
    </row>
    <row r="1130" spans="1:26" ht="15.75" customHeight="1">
      <c r="A1130" s="52"/>
      <c r="B1130" s="52"/>
      <c r="C1130" s="52"/>
      <c r="D1130" s="52"/>
      <c r="E1130" s="52"/>
      <c r="F1130" s="71"/>
      <c r="G1130" s="52"/>
      <c r="H1130" s="52"/>
      <c r="I1130" s="52"/>
      <c r="J1130" s="52"/>
      <c r="K1130" s="52"/>
      <c r="L1130" s="52"/>
      <c r="M1130" s="52"/>
      <c r="N1130" s="52"/>
      <c r="O1130" s="52"/>
      <c r="P1130" s="52"/>
      <c r="Q1130" s="52"/>
      <c r="R1130" s="52"/>
      <c r="S1130" s="52"/>
      <c r="T1130" s="52"/>
      <c r="U1130" s="52"/>
      <c r="V1130" s="52"/>
      <c r="W1130" s="52"/>
      <c r="X1130" s="52"/>
      <c r="Y1130" s="52"/>
      <c r="Z1130" s="52"/>
    </row>
    <row r="1131" spans="1:26" ht="15.75" customHeight="1">
      <c r="A1131" s="52"/>
      <c r="B1131" s="52"/>
      <c r="C1131" s="52"/>
      <c r="D1131" s="52"/>
      <c r="E1131" s="52"/>
      <c r="F1131" s="71"/>
      <c r="G1131" s="52"/>
      <c r="H1131" s="52"/>
      <c r="I1131" s="52"/>
      <c r="J1131" s="52"/>
      <c r="K1131" s="52"/>
      <c r="L1131" s="52"/>
      <c r="M1131" s="52"/>
      <c r="N1131" s="52"/>
      <c r="O1131" s="52"/>
      <c r="P1131" s="52"/>
      <c r="Q1131" s="52"/>
      <c r="R1131" s="52"/>
      <c r="S1131" s="52"/>
      <c r="T1131" s="52"/>
      <c r="U1131" s="52"/>
      <c r="V1131" s="52"/>
      <c r="W1131" s="52"/>
      <c r="X1131" s="52"/>
      <c r="Y1131" s="52"/>
      <c r="Z1131" s="52"/>
    </row>
    <row r="1132" spans="1:26" ht="15.75" customHeight="1">
      <c r="A1132" s="52"/>
      <c r="B1132" s="52"/>
      <c r="C1132" s="52"/>
      <c r="D1132" s="52"/>
      <c r="E1132" s="52"/>
      <c r="F1132" s="71"/>
      <c r="G1132" s="52"/>
      <c r="H1132" s="52"/>
      <c r="I1132" s="52"/>
      <c r="J1132" s="52"/>
      <c r="K1132" s="52"/>
      <c r="L1132" s="52"/>
      <c r="M1132" s="52"/>
      <c r="N1132" s="52"/>
      <c r="O1132" s="52"/>
      <c r="P1132" s="52"/>
      <c r="Q1132" s="52"/>
      <c r="R1132" s="52"/>
      <c r="S1132" s="52"/>
      <c r="T1132" s="52"/>
      <c r="U1132" s="52"/>
      <c r="V1132" s="52"/>
      <c r="W1132" s="52"/>
      <c r="X1132" s="52"/>
      <c r="Y1132" s="52"/>
      <c r="Z1132" s="52"/>
    </row>
    <row r="1133" spans="1:26" ht="15.75" customHeight="1">
      <c r="A1133" s="52"/>
      <c r="B1133" s="52"/>
      <c r="C1133" s="52"/>
      <c r="D1133" s="52"/>
      <c r="E1133" s="52"/>
      <c r="F1133" s="71"/>
      <c r="G1133" s="52"/>
      <c r="H1133" s="52"/>
      <c r="I1133" s="52"/>
      <c r="J1133" s="52"/>
      <c r="K1133" s="52"/>
      <c r="L1133" s="52"/>
      <c r="M1133" s="52"/>
      <c r="N1133" s="52"/>
      <c r="O1133" s="52"/>
      <c r="P1133" s="52"/>
      <c r="Q1133" s="52"/>
      <c r="R1133" s="52"/>
      <c r="S1133" s="52"/>
      <c r="T1133" s="52"/>
      <c r="U1133" s="52"/>
      <c r="V1133" s="52"/>
      <c r="W1133" s="52"/>
      <c r="X1133" s="52"/>
      <c r="Y1133" s="52"/>
      <c r="Z1133" s="52"/>
    </row>
    <row r="1134" spans="1:26" ht="15.75" customHeight="1">
      <c r="A1134" s="52"/>
      <c r="B1134" s="52"/>
      <c r="C1134" s="52"/>
      <c r="D1134" s="52"/>
      <c r="E1134" s="52"/>
      <c r="F1134" s="71"/>
      <c r="G1134" s="52"/>
      <c r="H1134" s="52"/>
      <c r="I1134" s="52"/>
      <c r="J1134" s="52"/>
      <c r="K1134" s="52"/>
      <c r="L1134" s="52"/>
      <c r="M1134" s="52"/>
      <c r="N1134" s="52"/>
      <c r="O1134" s="52"/>
      <c r="P1134" s="52"/>
      <c r="Q1134" s="52"/>
      <c r="R1134" s="52"/>
      <c r="S1134" s="52"/>
      <c r="T1134" s="52"/>
      <c r="U1134" s="52"/>
      <c r="V1134" s="52"/>
      <c r="W1134" s="52"/>
      <c r="X1134" s="52"/>
      <c r="Y1134" s="52"/>
      <c r="Z1134" s="52"/>
    </row>
    <row r="1135" spans="1:26" ht="15.75" customHeight="1">
      <c r="A1135" s="52"/>
      <c r="B1135" s="52"/>
      <c r="C1135" s="52"/>
      <c r="D1135" s="52"/>
      <c r="E1135" s="52"/>
      <c r="F1135" s="71"/>
      <c r="G1135" s="52"/>
      <c r="H1135" s="52"/>
      <c r="I1135" s="52"/>
      <c r="J1135" s="52"/>
      <c r="K1135" s="52"/>
      <c r="L1135" s="52"/>
      <c r="M1135" s="52"/>
      <c r="N1135" s="52"/>
      <c r="O1135" s="52"/>
      <c r="P1135" s="52"/>
      <c r="Q1135" s="52"/>
      <c r="R1135" s="52"/>
      <c r="S1135" s="52"/>
      <c r="T1135" s="52"/>
      <c r="U1135" s="52"/>
      <c r="V1135" s="52"/>
      <c r="W1135" s="52"/>
      <c r="X1135" s="52"/>
      <c r="Y1135" s="52"/>
      <c r="Z1135" s="52"/>
    </row>
    <row r="1136" spans="1:26" ht="15.75" customHeight="1">
      <c r="A1136" s="52"/>
      <c r="B1136" s="52"/>
      <c r="C1136" s="52"/>
      <c r="D1136" s="52"/>
      <c r="E1136" s="52"/>
      <c r="F1136" s="71"/>
      <c r="G1136" s="52"/>
      <c r="H1136" s="52"/>
      <c r="I1136" s="52"/>
      <c r="J1136" s="52"/>
      <c r="K1136" s="52"/>
      <c r="L1136" s="52"/>
      <c r="M1136" s="52"/>
      <c r="N1136" s="52"/>
      <c r="O1136" s="52"/>
      <c r="P1136" s="52"/>
      <c r="Q1136" s="52"/>
      <c r="R1136" s="52"/>
      <c r="S1136" s="52"/>
      <c r="T1136" s="52"/>
      <c r="U1136" s="52"/>
      <c r="V1136" s="52"/>
      <c r="W1136" s="52"/>
      <c r="X1136" s="52"/>
      <c r="Y1136" s="52"/>
      <c r="Z1136" s="52"/>
    </row>
    <row r="1137" spans="1:26" ht="15.75" customHeight="1">
      <c r="A1137" s="52"/>
      <c r="B1137" s="52"/>
      <c r="C1137" s="52"/>
      <c r="D1137" s="52"/>
      <c r="E1137" s="52"/>
      <c r="F1137" s="71"/>
      <c r="G1137" s="52"/>
      <c r="H1137" s="52"/>
      <c r="I1137" s="52"/>
      <c r="J1137" s="52"/>
      <c r="K1137" s="52"/>
      <c r="L1137" s="52"/>
      <c r="M1137" s="52"/>
      <c r="N1137" s="52"/>
      <c r="O1137" s="52"/>
      <c r="P1137" s="52"/>
      <c r="Q1137" s="52"/>
      <c r="R1137" s="52"/>
      <c r="S1137" s="52"/>
      <c r="T1137" s="52"/>
      <c r="U1137" s="52"/>
      <c r="V1137" s="52"/>
      <c r="W1137" s="52"/>
      <c r="X1137" s="52"/>
      <c r="Y1137" s="52"/>
      <c r="Z1137" s="52"/>
    </row>
    <row r="1138" spans="1:26" ht="15.75" customHeight="1">
      <c r="A1138" s="52"/>
      <c r="B1138" s="52"/>
      <c r="C1138" s="52"/>
      <c r="D1138" s="52"/>
      <c r="E1138" s="52"/>
      <c r="F1138" s="71"/>
      <c r="G1138" s="52"/>
      <c r="H1138" s="52"/>
      <c r="I1138" s="52"/>
      <c r="J1138" s="52"/>
      <c r="K1138" s="52"/>
      <c r="L1138" s="52"/>
      <c r="M1138" s="52"/>
      <c r="N1138" s="52"/>
      <c r="O1138" s="52"/>
      <c r="P1138" s="52"/>
      <c r="Q1138" s="52"/>
      <c r="R1138" s="52"/>
      <c r="S1138" s="52"/>
      <c r="T1138" s="52"/>
      <c r="U1138" s="52"/>
      <c r="V1138" s="52"/>
      <c r="W1138" s="52"/>
      <c r="X1138" s="52"/>
      <c r="Y1138" s="52"/>
      <c r="Z1138" s="52"/>
    </row>
    <row r="1139" spans="1:26" ht="15.75" customHeight="1">
      <c r="A1139" s="52"/>
      <c r="B1139" s="52"/>
      <c r="C1139" s="52"/>
      <c r="D1139" s="52"/>
      <c r="E1139" s="52"/>
      <c r="F1139" s="71"/>
      <c r="G1139" s="52"/>
      <c r="H1139" s="52"/>
      <c r="I1139" s="52"/>
      <c r="J1139" s="52"/>
      <c r="K1139" s="52"/>
      <c r="L1139" s="52"/>
      <c r="M1139" s="52"/>
      <c r="N1139" s="52"/>
      <c r="O1139" s="52"/>
      <c r="P1139" s="52"/>
      <c r="Q1139" s="52"/>
      <c r="R1139" s="52"/>
      <c r="S1139" s="52"/>
      <c r="T1139" s="52"/>
      <c r="U1139" s="52"/>
      <c r="V1139" s="52"/>
      <c r="W1139" s="52"/>
      <c r="X1139" s="52"/>
      <c r="Y1139" s="52"/>
      <c r="Z1139" s="52"/>
    </row>
    <row r="1140" spans="1:26" ht="15.75" customHeight="1">
      <c r="A1140" s="52"/>
      <c r="B1140" s="52"/>
      <c r="C1140" s="52"/>
      <c r="D1140" s="52"/>
      <c r="E1140" s="52"/>
      <c r="F1140" s="71"/>
      <c r="G1140" s="52"/>
      <c r="H1140" s="52"/>
      <c r="I1140" s="52"/>
      <c r="J1140" s="52"/>
      <c r="K1140" s="52"/>
      <c r="L1140" s="52"/>
      <c r="M1140" s="52"/>
      <c r="N1140" s="52"/>
      <c r="O1140" s="52"/>
      <c r="P1140" s="52"/>
      <c r="Q1140" s="52"/>
      <c r="R1140" s="52"/>
      <c r="S1140" s="52"/>
      <c r="T1140" s="52"/>
      <c r="U1140" s="52"/>
      <c r="V1140" s="52"/>
      <c r="W1140" s="52"/>
      <c r="X1140" s="52"/>
      <c r="Y1140" s="52"/>
      <c r="Z1140" s="52"/>
    </row>
    <row r="1141" spans="1:26" ht="15.75" customHeight="1">
      <c r="A1141" s="52"/>
      <c r="B1141" s="52"/>
      <c r="C1141" s="52"/>
      <c r="D1141" s="52"/>
      <c r="E1141" s="52"/>
      <c r="F1141" s="71"/>
      <c r="G1141" s="52"/>
      <c r="H1141" s="52"/>
      <c r="I1141" s="52"/>
      <c r="J1141" s="52"/>
      <c r="K1141" s="52"/>
      <c r="L1141" s="52"/>
      <c r="M1141" s="52"/>
      <c r="N1141" s="52"/>
      <c r="O1141" s="52"/>
      <c r="P1141" s="52"/>
      <c r="Q1141" s="52"/>
      <c r="R1141" s="52"/>
      <c r="S1141" s="52"/>
      <c r="T1141" s="52"/>
      <c r="U1141" s="52"/>
      <c r="V1141" s="52"/>
      <c r="W1141" s="52"/>
      <c r="X1141" s="52"/>
      <c r="Y1141" s="52"/>
      <c r="Z1141" s="52"/>
    </row>
    <row r="1142" spans="1:26" ht="15.75" customHeight="1">
      <c r="A1142" s="52"/>
      <c r="B1142" s="52"/>
      <c r="C1142" s="52"/>
      <c r="D1142" s="52"/>
      <c r="E1142" s="52"/>
      <c r="F1142" s="71"/>
      <c r="G1142" s="52"/>
      <c r="H1142" s="52"/>
      <c r="I1142" s="52"/>
      <c r="J1142" s="52"/>
      <c r="K1142" s="52"/>
      <c r="L1142" s="52"/>
      <c r="M1142" s="52"/>
      <c r="N1142" s="52"/>
      <c r="O1142" s="52"/>
      <c r="P1142" s="52"/>
      <c r="Q1142" s="52"/>
      <c r="R1142" s="52"/>
      <c r="S1142" s="52"/>
      <c r="T1142" s="52"/>
      <c r="U1142" s="52"/>
      <c r="V1142" s="52"/>
      <c r="W1142" s="52"/>
      <c r="X1142" s="52"/>
      <c r="Y1142" s="52"/>
      <c r="Z1142" s="52"/>
    </row>
    <row r="1143" spans="1:26" ht="15.75" customHeight="1">
      <c r="A1143" s="52"/>
      <c r="B1143" s="52"/>
      <c r="C1143" s="52"/>
      <c r="D1143" s="52"/>
      <c r="E1143" s="52"/>
      <c r="F1143" s="71"/>
      <c r="G1143" s="52"/>
      <c r="H1143" s="52"/>
      <c r="I1143" s="52"/>
      <c r="J1143" s="52"/>
      <c r="K1143" s="52"/>
      <c r="L1143" s="52"/>
      <c r="M1143" s="52"/>
      <c r="N1143" s="52"/>
      <c r="O1143" s="52"/>
      <c r="P1143" s="52"/>
      <c r="Q1143" s="52"/>
      <c r="R1143" s="52"/>
      <c r="S1143" s="52"/>
      <c r="T1143" s="52"/>
      <c r="U1143" s="52"/>
      <c r="V1143" s="52"/>
      <c r="W1143" s="52"/>
      <c r="X1143" s="52"/>
      <c r="Y1143" s="52"/>
      <c r="Z1143" s="52"/>
    </row>
    <row r="1144" spans="1:26" ht="15.75" customHeight="1">
      <c r="A1144" s="52"/>
      <c r="B1144" s="52"/>
      <c r="C1144" s="52"/>
      <c r="D1144" s="52"/>
      <c r="E1144" s="52"/>
      <c r="F1144" s="71"/>
      <c r="G1144" s="52"/>
      <c r="H1144" s="52"/>
      <c r="I1144" s="52"/>
      <c r="J1144" s="52"/>
      <c r="K1144" s="52"/>
      <c r="L1144" s="52"/>
      <c r="M1144" s="52"/>
      <c r="N1144" s="52"/>
      <c r="O1144" s="52"/>
      <c r="P1144" s="52"/>
      <c r="Q1144" s="52"/>
      <c r="R1144" s="52"/>
      <c r="S1144" s="52"/>
      <c r="T1144" s="52"/>
      <c r="U1144" s="52"/>
      <c r="V1144" s="52"/>
      <c r="W1144" s="52"/>
      <c r="X1144" s="52"/>
      <c r="Y1144" s="52"/>
      <c r="Z1144" s="52"/>
    </row>
    <row r="1145" spans="1:26" ht="15.75" customHeight="1">
      <c r="A1145" s="52"/>
      <c r="B1145" s="52"/>
      <c r="C1145" s="52"/>
      <c r="D1145" s="52"/>
      <c r="E1145" s="52"/>
      <c r="F1145" s="71"/>
      <c r="G1145" s="52"/>
      <c r="H1145" s="52"/>
      <c r="I1145" s="52"/>
      <c r="J1145" s="52"/>
      <c r="K1145" s="52"/>
      <c r="L1145" s="52"/>
      <c r="M1145" s="52"/>
      <c r="N1145" s="52"/>
      <c r="O1145" s="52"/>
      <c r="P1145" s="52"/>
      <c r="Q1145" s="52"/>
      <c r="R1145" s="52"/>
      <c r="S1145" s="52"/>
      <c r="T1145" s="52"/>
      <c r="U1145" s="52"/>
      <c r="V1145" s="52"/>
      <c r="W1145" s="52"/>
      <c r="X1145" s="52"/>
      <c r="Y1145" s="52"/>
      <c r="Z1145" s="52"/>
    </row>
    <row r="1146" spans="1:26" ht="15.75" customHeight="1">
      <c r="A1146" s="52"/>
      <c r="B1146" s="52"/>
      <c r="C1146" s="52"/>
      <c r="D1146" s="52"/>
      <c r="E1146" s="52"/>
      <c r="F1146" s="71"/>
      <c r="G1146" s="52"/>
      <c r="H1146" s="52"/>
      <c r="I1146" s="52"/>
      <c r="J1146" s="52"/>
      <c r="K1146" s="52"/>
      <c r="L1146" s="52"/>
      <c r="M1146" s="52"/>
      <c r="N1146" s="52"/>
      <c r="O1146" s="52"/>
      <c r="P1146" s="52"/>
      <c r="Q1146" s="52"/>
      <c r="R1146" s="52"/>
      <c r="S1146" s="52"/>
      <c r="T1146" s="52"/>
      <c r="U1146" s="52"/>
      <c r="V1146" s="52"/>
      <c r="W1146" s="52"/>
      <c r="X1146" s="52"/>
      <c r="Y1146" s="52"/>
      <c r="Z1146" s="52"/>
    </row>
    <row r="1147" spans="1:26" ht="15.75" customHeight="1">
      <c r="A1147" s="52"/>
      <c r="B1147" s="52"/>
      <c r="C1147" s="52"/>
      <c r="D1147" s="52"/>
      <c r="E1147" s="52"/>
      <c r="F1147" s="71"/>
      <c r="G1147" s="52"/>
      <c r="H1147" s="52"/>
      <c r="I1147" s="52"/>
      <c r="J1147" s="52"/>
      <c r="K1147" s="52"/>
      <c r="L1147" s="52"/>
      <c r="M1147" s="52"/>
      <c r="N1147" s="52"/>
      <c r="O1147" s="52"/>
      <c r="P1147" s="52"/>
      <c r="Q1147" s="52"/>
      <c r="R1147" s="52"/>
      <c r="S1147" s="52"/>
      <c r="T1147" s="52"/>
      <c r="U1147" s="52"/>
      <c r="V1147" s="52"/>
      <c r="W1147" s="52"/>
      <c r="X1147" s="52"/>
      <c r="Y1147" s="52"/>
      <c r="Z1147" s="52"/>
    </row>
    <row r="1148" spans="1:26" ht="15.75" customHeight="1">
      <c r="A1148" s="52"/>
      <c r="B1148" s="52"/>
      <c r="C1148" s="52"/>
      <c r="D1148" s="52"/>
      <c r="E1148" s="52"/>
      <c r="F1148" s="71"/>
      <c r="G1148" s="52"/>
      <c r="H1148" s="52"/>
      <c r="I1148" s="52"/>
      <c r="J1148" s="52"/>
      <c r="K1148" s="52"/>
      <c r="L1148" s="52"/>
      <c r="M1148" s="52"/>
      <c r="N1148" s="52"/>
      <c r="O1148" s="52"/>
      <c r="P1148" s="52"/>
      <c r="Q1148" s="52"/>
      <c r="R1148" s="52"/>
      <c r="S1148" s="52"/>
      <c r="T1148" s="52"/>
      <c r="U1148" s="52"/>
      <c r="V1148" s="52"/>
      <c r="W1148" s="52"/>
      <c r="X1148" s="52"/>
      <c r="Y1148" s="52"/>
      <c r="Z1148" s="52"/>
    </row>
    <row r="1149" spans="1:26" ht="15.75" customHeight="1">
      <c r="A1149" s="52"/>
      <c r="B1149" s="52"/>
      <c r="C1149" s="52"/>
      <c r="D1149" s="52"/>
      <c r="E1149" s="52"/>
      <c r="F1149" s="71"/>
      <c r="G1149" s="52"/>
      <c r="H1149" s="52"/>
      <c r="I1149" s="52"/>
      <c r="J1149" s="52"/>
      <c r="K1149" s="52"/>
      <c r="L1149" s="52"/>
      <c r="M1149" s="52"/>
      <c r="N1149" s="52"/>
      <c r="O1149" s="52"/>
      <c r="P1149" s="52"/>
      <c r="Q1149" s="52"/>
      <c r="R1149" s="52"/>
      <c r="S1149" s="52"/>
      <c r="T1149" s="52"/>
      <c r="U1149" s="52"/>
      <c r="V1149" s="52"/>
      <c r="W1149" s="52"/>
      <c r="X1149" s="52"/>
      <c r="Y1149" s="52"/>
      <c r="Z1149" s="52"/>
    </row>
    <row r="1150" spans="1:26" ht="15.75" customHeight="1">
      <c r="A1150" s="52"/>
      <c r="B1150" s="52"/>
      <c r="C1150" s="52"/>
      <c r="D1150" s="52"/>
      <c r="E1150" s="52"/>
      <c r="F1150" s="71"/>
      <c r="G1150" s="52"/>
      <c r="H1150" s="52"/>
      <c r="I1150" s="52"/>
      <c r="J1150" s="52"/>
      <c r="K1150" s="52"/>
      <c r="L1150" s="52"/>
      <c r="M1150" s="52"/>
      <c r="N1150" s="52"/>
      <c r="O1150" s="52"/>
      <c r="P1150" s="52"/>
      <c r="Q1150" s="52"/>
      <c r="R1150" s="52"/>
      <c r="S1150" s="52"/>
      <c r="T1150" s="52"/>
      <c r="U1150" s="52"/>
      <c r="V1150" s="52"/>
      <c r="W1150" s="52"/>
      <c r="X1150" s="52"/>
      <c r="Y1150" s="52"/>
      <c r="Z1150" s="52"/>
    </row>
    <row r="1151" spans="1:26" ht="15.75" customHeight="1">
      <c r="A1151" s="52"/>
      <c r="B1151" s="52"/>
      <c r="C1151" s="52"/>
      <c r="D1151" s="52"/>
      <c r="E1151" s="52"/>
      <c r="F1151" s="71"/>
      <c r="G1151" s="52"/>
      <c r="H1151" s="52"/>
      <c r="I1151" s="52"/>
      <c r="J1151" s="52"/>
      <c r="K1151" s="52"/>
      <c r="L1151" s="52"/>
      <c r="M1151" s="52"/>
      <c r="N1151" s="52"/>
      <c r="O1151" s="52"/>
      <c r="P1151" s="52"/>
      <c r="Q1151" s="52"/>
      <c r="R1151" s="52"/>
      <c r="S1151" s="52"/>
      <c r="T1151" s="52"/>
      <c r="U1151" s="52"/>
      <c r="V1151" s="52"/>
      <c r="W1151" s="52"/>
      <c r="X1151" s="52"/>
      <c r="Y1151" s="52"/>
      <c r="Z1151" s="52"/>
    </row>
    <row r="1152" spans="1:26" ht="15.75" customHeight="1">
      <c r="A1152" s="52"/>
      <c r="B1152" s="52"/>
      <c r="C1152" s="52"/>
      <c r="D1152" s="52"/>
      <c r="E1152" s="52"/>
      <c r="F1152" s="71"/>
      <c r="G1152" s="52"/>
      <c r="H1152" s="52"/>
      <c r="I1152" s="52"/>
      <c r="J1152" s="52"/>
      <c r="K1152" s="52"/>
      <c r="L1152" s="52"/>
      <c r="M1152" s="52"/>
      <c r="N1152" s="52"/>
      <c r="O1152" s="52"/>
      <c r="P1152" s="52"/>
      <c r="Q1152" s="52"/>
      <c r="R1152" s="52"/>
      <c r="S1152" s="52"/>
      <c r="T1152" s="52"/>
      <c r="U1152" s="52"/>
      <c r="V1152" s="52"/>
      <c r="W1152" s="52"/>
      <c r="X1152" s="52"/>
      <c r="Y1152" s="52"/>
      <c r="Z1152" s="52"/>
    </row>
    <row r="1153" spans="1:26" ht="15.75" customHeight="1">
      <c r="A1153" s="52"/>
      <c r="B1153" s="52"/>
      <c r="C1153" s="52"/>
      <c r="D1153" s="52"/>
      <c r="E1153" s="52"/>
      <c r="F1153" s="71"/>
      <c r="G1153" s="52"/>
      <c r="H1153" s="52"/>
      <c r="I1153" s="52"/>
      <c r="J1153" s="52"/>
      <c r="K1153" s="52"/>
      <c r="L1153" s="52"/>
      <c r="M1153" s="52"/>
      <c r="N1153" s="52"/>
      <c r="O1153" s="52"/>
      <c r="P1153" s="52"/>
      <c r="Q1153" s="52"/>
      <c r="R1153" s="52"/>
      <c r="S1153" s="52"/>
      <c r="T1153" s="52"/>
      <c r="U1153" s="52"/>
      <c r="V1153" s="52"/>
      <c r="W1153" s="52"/>
      <c r="X1153" s="52"/>
      <c r="Y1153" s="52"/>
      <c r="Z1153" s="52"/>
    </row>
    <row r="1154" spans="1:26" ht="15.75" customHeight="1">
      <c r="A1154" s="52"/>
      <c r="B1154" s="52"/>
      <c r="C1154" s="52"/>
      <c r="D1154" s="52"/>
      <c r="E1154" s="52"/>
      <c r="F1154" s="71"/>
      <c r="G1154" s="52"/>
      <c r="H1154" s="52"/>
      <c r="I1154" s="52"/>
      <c r="J1154" s="52"/>
      <c r="K1154" s="52"/>
      <c r="L1154" s="52"/>
      <c r="M1154" s="52"/>
      <c r="N1154" s="52"/>
      <c r="O1154" s="52"/>
      <c r="P1154" s="52"/>
      <c r="Q1154" s="52"/>
      <c r="R1154" s="52"/>
      <c r="S1154" s="52"/>
      <c r="T1154" s="52"/>
      <c r="U1154" s="52"/>
      <c r="V1154" s="52"/>
      <c r="W1154" s="52"/>
      <c r="X1154" s="52"/>
      <c r="Y1154" s="52"/>
      <c r="Z1154" s="52"/>
    </row>
    <row r="1155" spans="1:26" ht="15.75" customHeight="1">
      <c r="A1155" s="52"/>
      <c r="B1155" s="52"/>
      <c r="C1155" s="52"/>
      <c r="D1155" s="52"/>
      <c r="E1155" s="52"/>
      <c r="F1155" s="71"/>
      <c r="G1155" s="52"/>
      <c r="H1155" s="52"/>
      <c r="I1155" s="52"/>
      <c r="J1155" s="52"/>
      <c r="K1155" s="52"/>
      <c r="L1155" s="52"/>
      <c r="M1155" s="52"/>
      <c r="N1155" s="52"/>
      <c r="O1155" s="52"/>
      <c r="P1155" s="52"/>
      <c r="Q1155" s="52"/>
      <c r="R1155" s="52"/>
      <c r="S1155" s="52"/>
      <c r="T1155" s="52"/>
      <c r="U1155" s="52"/>
      <c r="V1155" s="52"/>
      <c r="W1155" s="52"/>
      <c r="X1155" s="52"/>
      <c r="Y1155" s="52"/>
      <c r="Z1155" s="52"/>
    </row>
    <row r="1156" spans="1:26" ht="15.75" customHeight="1">
      <c r="A1156" s="52"/>
      <c r="B1156" s="52"/>
      <c r="C1156" s="52"/>
      <c r="D1156" s="52"/>
      <c r="E1156" s="52"/>
      <c r="F1156" s="71"/>
      <c r="G1156" s="52"/>
      <c r="H1156" s="52"/>
      <c r="I1156" s="52"/>
      <c r="J1156" s="52"/>
      <c r="K1156" s="52"/>
      <c r="L1156" s="52"/>
      <c r="M1156" s="52"/>
      <c r="N1156" s="52"/>
      <c r="O1156" s="52"/>
      <c r="P1156" s="52"/>
      <c r="Q1156" s="52"/>
      <c r="R1156" s="52"/>
      <c r="S1156" s="52"/>
      <c r="T1156" s="52"/>
      <c r="U1156" s="52"/>
      <c r="V1156" s="52"/>
      <c r="W1156" s="52"/>
      <c r="X1156" s="52"/>
      <c r="Y1156" s="52"/>
      <c r="Z1156" s="52"/>
    </row>
    <row r="1157" spans="1:26" ht="15.75" customHeight="1">
      <c r="A1157" s="52"/>
      <c r="B1157" s="52"/>
      <c r="C1157" s="52"/>
      <c r="D1157" s="52"/>
      <c r="E1157" s="52"/>
      <c r="F1157" s="71"/>
      <c r="G1157" s="52"/>
      <c r="H1157" s="52"/>
      <c r="I1157" s="52"/>
      <c r="J1157" s="52"/>
      <c r="K1157" s="52"/>
      <c r="L1157" s="52"/>
      <c r="M1157" s="52"/>
      <c r="N1157" s="52"/>
      <c r="O1157" s="52"/>
      <c r="P1157" s="52"/>
      <c r="Q1157" s="52"/>
      <c r="R1157" s="52"/>
      <c r="S1157" s="52"/>
      <c r="T1157" s="52"/>
      <c r="U1157" s="52"/>
      <c r="V1157" s="52"/>
      <c r="W1157" s="52"/>
      <c r="X1157" s="52"/>
      <c r="Y1157" s="52"/>
      <c r="Z1157" s="52"/>
    </row>
    <row r="1158" spans="1:26" ht="15.75" customHeight="1">
      <c r="A1158" s="52"/>
      <c r="B1158" s="52"/>
      <c r="C1158" s="52"/>
      <c r="D1158" s="52"/>
      <c r="E1158" s="52"/>
      <c r="F1158" s="71"/>
      <c r="G1158" s="52"/>
      <c r="H1158" s="52"/>
      <c r="I1158" s="52"/>
      <c r="J1158" s="52"/>
      <c r="K1158" s="52"/>
      <c r="L1158" s="52"/>
      <c r="M1158" s="52"/>
      <c r="N1158" s="52"/>
      <c r="O1158" s="52"/>
      <c r="P1158" s="52"/>
      <c r="Q1158" s="52"/>
      <c r="R1158" s="52"/>
      <c r="S1158" s="52"/>
      <c r="T1158" s="52"/>
      <c r="U1158" s="52"/>
      <c r="V1158" s="52"/>
      <c r="W1158" s="52"/>
      <c r="X1158" s="52"/>
      <c r="Y1158" s="52"/>
      <c r="Z1158" s="52"/>
    </row>
    <row r="1159" spans="1:26" ht="15.75" customHeight="1">
      <c r="A1159" s="52"/>
      <c r="B1159" s="52"/>
      <c r="C1159" s="52"/>
      <c r="D1159" s="52"/>
      <c r="E1159" s="52"/>
      <c r="F1159" s="71"/>
      <c r="G1159" s="52"/>
      <c r="H1159" s="52"/>
      <c r="I1159" s="52"/>
      <c r="J1159" s="52"/>
      <c r="K1159" s="52"/>
      <c r="L1159" s="52"/>
      <c r="M1159" s="52"/>
      <c r="N1159" s="52"/>
      <c r="O1159" s="52"/>
      <c r="P1159" s="52"/>
      <c r="Q1159" s="52"/>
      <c r="R1159" s="52"/>
      <c r="S1159" s="52"/>
      <c r="T1159" s="52"/>
      <c r="U1159" s="52"/>
      <c r="V1159" s="52"/>
      <c r="W1159" s="52"/>
      <c r="X1159" s="52"/>
      <c r="Y1159" s="52"/>
      <c r="Z1159" s="52"/>
    </row>
    <row r="1160" spans="1:26" ht="15.75" customHeight="1">
      <c r="A1160" s="52"/>
      <c r="B1160" s="52"/>
      <c r="C1160" s="52"/>
      <c r="D1160" s="52"/>
      <c r="E1160" s="52"/>
      <c r="F1160" s="71"/>
      <c r="G1160" s="52"/>
      <c r="H1160" s="52"/>
      <c r="I1160" s="52"/>
      <c r="J1160" s="52"/>
      <c r="K1160" s="52"/>
      <c r="L1160" s="52"/>
      <c r="M1160" s="52"/>
      <c r="N1160" s="52"/>
      <c r="O1160" s="52"/>
      <c r="P1160" s="52"/>
      <c r="Q1160" s="52"/>
      <c r="R1160" s="52"/>
      <c r="S1160" s="52"/>
      <c r="T1160" s="52"/>
      <c r="U1160" s="52"/>
      <c r="V1160" s="52"/>
      <c r="W1160" s="52"/>
      <c r="X1160" s="52"/>
      <c r="Y1160" s="52"/>
      <c r="Z1160" s="52"/>
    </row>
    <row r="1161" spans="1:26" ht="15.75" customHeight="1">
      <c r="A1161" s="52"/>
      <c r="B1161" s="52"/>
      <c r="C1161" s="52"/>
      <c r="D1161" s="52"/>
      <c r="E1161" s="52"/>
      <c r="F1161" s="71"/>
      <c r="G1161" s="52"/>
      <c r="H1161" s="52"/>
      <c r="I1161" s="52"/>
      <c r="J1161" s="52"/>
      <c r="K1161" s="52"/>
      <c r="L1161" s="52"/>
      <c r="M1161" s="52"/>
      <c r="N1161" s="52"/>
      <c r="O1161" s="52"/>
      <c r="P1161" s="52"/>
      <c r="Q1161" s="52"/>
      <c r="R1161" s="52"/>
      <c r="S1161" s="52"/>
      <c r="T1161" s="52"/>
      <c r="U1161" s="52"/>
      <c r="V1161" s="52"/>
      <c r="W1161" s="52"/>
      <c r="X1161" s="52"/>
      <c r="Y1161" s="52"/>
      <c r="Z1161" s="52"/>
    </row>
    <row r="1162" spans="1:26" ht="15.75" customHeight="1">
      <c r="A1162" s="52"/>
      <c r="B1162" s="52"/>
      <c r="C1162" s="52"/>
      <c r="D1162" s="52"/>
      <c r="E1162" s="52"/>
      <c r="F1162" s="71"/>
      <c r="G1162" s="52"/>
      <c r="H1162" s="52"/>
      <c r="I1162" s="52"/>
      <c r="J1162" s="52"/>
      <c r="K1162" s="52"/>
      <c r="L1162" s="52"/>
      <c r="M1162" s="52"/>
      <c r="N1162" s="52"/>
      <c r="O1162" s="52"/>
      <c r="P1162" s="52"/>
      <c r="Q1162" s="52"/>
      <c r="R1162" s="52"/>
      <c r="S1162" s="52"/>
      <c r="T1162" s="52"/>
      <c r="U1162" s="52"/>
      <c r="V1162" s="52"/>
      <c r="W1162" s="52"/>
      <c r="X1162" s="52"/>
      <c r="Y1162" s="52"/>
      <c r="Z1162" s="52"/>
    </row>
    <row r="1163" spans="1:26" ht="15.75" customHeight="1">
      <c r="A1163" s="52"/>
      <c r="B1163" s="52"/>
      <c r="C1163" s="52"/>
      <c r="D1163" s="52"/>
      <c r="E1163" s="52"/>
      <c r="F1163" s="71"/>
      <c r="G1163" s="52"/>
      <c r="H1163" s="52"/>
      <c r="I1163" s="52"/>
      <c r="J1163" s="52"/>
      <c r="K1163" s="52"/>
      <c r="L1163" s="52"/>
      <c r="M1163" s="52"/>
      <c r="N1163" s="52"/>
      <c r="O1163" s="52"/>
      <c r="P1163" s="52"/>
      <c r="Q1163" s="52"/>
      <c r="R1163" s="52"/>
      <c r="S1163" s="52"/>
      <c r="T1163" s="52"/>
      <c r="U1163" s="52"/>
      <c r="V1163" s="52"/>
      <c r="W1163" s="52"/>
      <c r="X1163" s="52"/>
      <c r="Y1163" s="52"/>
      <c r="Z1163" s="52"/>
    </row>
    <row r="1164" spans="1:26" ht="15.75" customHeight="1">
      <c r="A1164" s="52"/>
      <c r="B1164" s="52"/>
      <c r="C1164" s="52"/>
      <c r="D1164" s="52"/>
      <c r="E1164" s="52"/>
      <c r="F1164" s="71"/>
      <c r="G1164" s="52"/>
      <c r="H1164" s="52"/>
      <c r="I1164" s="52"/>
      <c r="J1164" s="52"/>
      <c r="K1164" s="52"/>
      <c r="L1164" s="52"/>
      <c r="M1164" s="52"/>
      <c r="N1164" s="52"/>
      <c r="O1164" s="52"/>
      <c r="P1164" s="52"/>
      <c r="Q1164" s="52"/>
      <c r="R1164" s="52"/>
      <c r="S1164" s="52"/>
      <c r="T1164" s="52"/>
      <c r="U1164" s="52"/>
      <c r="V1164" s="52"/>
      <c r="W1164" s="52"/>
      <c r="X1164" s="52"/>
      <c r="Y1164" s="52"/>
      <c r="Z1164" s="52"/>
    </row>
    <row r="1165" spans="1:26" ht="15.75" customHeight="1">
      <c r="A1165" s="52"/>
      <c r="B1165" s="52"/>
      <c r="C1165" s="52"/>
      <c r="D1165" s="52"/>
      <c r="E1165" s="52"/>
      <c r="F1165" s="71"/>
      <c r="G1165" s="52"/>
      <c r="H1165" s="52"/>
      <c r="I1165" s="52"/>
      <c r="J1165" s="52"/>
      <c r="K1165" s="52"/>
      <c r="L1165" s="52"/>
      <c r="M1165" s="52"/>
      <c r="N1165" s="52"/>
      <c r="O1165" s="52"/>
      <c r="P1165" s="52"/>
      <c r="Q1165" s="52"/>
      <c r="R1165" s="52"/>
      <c r="S1165" s="52"/>
      <c r="T1165" s="52"/>
      <c r="U1165" s="52"/>
      <c r="V1165" s="52"/>
      <c r="W1165" s="52"/>
      <c r="X1165" s="52"/>
      <c r="Y1165" s="52"/>
      <c r="Z1165" s="52"/>
    </row>
    <row r="1166" spans="1:26" ht="15.75" customHeight="1">
      <c r="A1166" s="52"/>
      <c r="B1166" s="52"/>
      <c r="C1166" s="52"/>
      <c r="D1166" s="52"/>
      <c r="E1166" s="52"/>
      <c r="F1166" s="71"/>
      <c r="G1166" s="52"/>
      <c r="H1166" s="52"/>
      <c r="I1166" s="52"/>
      <c r="J1166" s="52"/>
      <c r="K1166" s="52"/>
      <c r="L1166" s="52"/>
      <c r="M1166" s="52"/>
      <c r="N1166" s="52"/>
      <c r="O1166" s="52"/>
      <c r="P1166" s="52"/>
      <c r="Q1166" s="52"/>
      <c r="R1166" s="52"/>
      <c r="S1166" s="52"/>
      <c r="T1166" s="52"/>
      <c r="U1166" s="52"/>
      <c r="V1166" s="52"/>
      <c r="W1166" s="52"/>
      <c r="X1166" s="52"/>
      <c r="Y1166" s="52"/>
      <c r="Z1166" s="52"/>
    </row>
    <row r="1167" spans="1:26" ht="15.75" customHeight="1">
      <c r="A1167" s="52"/>
      <c r="B1167" s="52"/>
      <c r="C1167" s="52"/>
      <c r="D1167" s="52"/>
      <c r="E1167" s="52"/>
      <c r="F1167" s="71"/>
      <c r="G1167" s="52"/>
      <c r="H1167" s="52"/>
      <c r="I1167" s="52"/>
      <c r="J1167" s="52"/>
      <c r="K1167" s="52"/>
      <c r="L1167" s="52"/>
      <c r="M1167" s="52"/>
      <c r="N1167" s="52"/>
      <c r="O1167" s="52"/>
      <c r="P1167" s="52"/>
      <c r="Q1167" s="52"/>
      <c r="R1167" s="52"/>
      <c r="S1167" s="52"/>
      <c r="T1167" s="52"/>
      <c r="U1167" s="52"/>
      <c r="V1167" s="52"/>
      <c r="W1167" s="52"/>
      <c r="X1167" s="52"/>
      <c r="Y1167" s="52"/>
      <c r="Z1167" s="52"/>
    </row>
    <row r="1168" spans="1:26" ht="15.75" customHeight="1">
      <c r="A1168" s="52"/>
      <c r="B1168" s="52"/>
      <c r="C1168" s="52"/>
      <c r="D1168" s="52"/>
      <c r="E1168" s="52"/>
      <c r="F1168" s="71"/>
      <c r="G1168" s="52"/>
      <c r="H1168" s="52"/>
      <c r="I1168" s="52"/>
      <c r="J1168" s="52"/>
      <c r="K1168" s="52"/>
      <c r="L1168" s="52"/>
      <c r="M1168" s="52"/>
      <c r="N1168" s="52"/>
      <c r="O1168" s="52"/>
      <c r="P1168" s="52"/>
      <c r="Q1168" s="52"/>
      <c r="R1168" s="52"/>
      <c r="S1168" s="52"/>
      <c r="T1168" s="52"/>
      <c r="U1168" s="52"/>
      <c r="V1168" s="52"/>
      <c r="W1168" s="52"/>
      <c r="X1168" s="52"/>
      <c r="Y1168" s="52"/>
      <c r="Z1168" s="52"/>
    </row>
    <row r="1169" spans="1:26" ht="15.75" customHeight="1">
      <c r="A1169" s="52"/>
      <c r="B1169" s="52"/>
      <c r="C1169" s="52"/>
      <c r="D1169" s="52"/>
      <c r="E1169" s="52"/>
      <c r="F1169" s="71"/>
      <c r="G1169" s="52"/>
      <c r="H1169" s="52"/>
      <c r="I1169" s="52"/>
      <c r="J1169" s="52"/>
      <c r="K1169" s="52"/>
      <c r="L1169" s="52"/>
      <c r="M1169" s="52"/>
      <c r="N1169" s="52"/>
      <c r="O1169" s="52"/>
      <c r="P1169" s="52"/>
      <c r="Q1169" s="52"/>
      <c r="R1169" s="52"/>
      <c r="S1169" s="52"/>
      <c r="T1169" s="52"/>
      <c r="U1169" s="52"/>
      <c r="V1169" s="52"/>
      <c r="W1169" s="52"/>
      <c r="X1169" s="52"/>
      <c r="Y1169" s="52"/>
      <c r="Z1169" s="52"/>
    </row>
    <row r="1170" spans="1:26" ht="15.75" customHeight="1">
      <c r="A1170" s="52"/>
      <c r="B1170" s="52"/>
      <c r="C1170" s="52"/>
      <c r="D1170" s="52"/>
      <c r="E1170" s="52"/>
      <c r="F1170" s="71"/>
      <c r="G1170" s="52"/>
      <c r="H1170" s="52"/>
      <c r="I1170" s="52"/>
      <c r="J1170" s="52"/>
      <c r="K1170" s="52"/>
      <c r="L1170" s="52"/>
      <c r="M1170" s="52"/>
      <c r="N1170" s="52"/>
      <c r="O1170" s="52"/>
      <c r="P1170" s="52"/>
      <c r="Q1170" s="52"/>
      <c r="R1170" s="52"/>
      <c r="S1170" s="52"/>
      <c r="T1170" s="52"/>
      <c r="U1170" s="52"/>
      <c r="V1170" s="52"/>
      <c r="W1170" s="52"/>
      <c r="X1170" s="52"/>
      <c r="Y1170" s="52"/>
      <c r="Z1170" s="52"/>
    </row>
    <row r="1171" spans="1:26" ht="15.75" customHeight="1">
      <c r="A1171" s="52"/>
      <c r="B1171" s="52"/>
      <c r="C1171" s="52"/>
      <c r="D1171" s="52"/>
      <c r="E1171" s="52"/>
      <c r="F1171" s="71"/>
      <c r="G1171" s="52"/>
      <c r="H1171" s="52"/>
      <c r="I1171" s="52"/>
      <c r="J1171" s="52"/>
      <c r="K1171" s="52"/>
      <c r="L1171" s="52"/>
      <c r="M1171" s="52"/>
      <c r="N1171" s="52"/>
      <c r="O1171" s="52"/>
      <c r="P1171" s="52"/>
      <c r="Q1171" s="52"/>
      <c r="R1171" s="52"/>
      <c r="S1171" s="52"/>
      <c r="T1171" s="52"/>
      <c r="U1171" s="52"/>
      <c r="V1171" s="52"/>
      <c r="W1171" s="52"/>
      <c r="X1171" s="52"/>
      <c r="Y1171" s="52"/>
      <c r="Z1171" s="52"/>
    </row>
    <row r="1172" spans="1:26" ht="15.75" customHeight="1">
      <c r="A1172" s="52"/>
      <c r="B1172" s="52"/>
      <c r="C1172" s="52"/>
      <c r="D1172" s="52"/>
      <c r="E1172" s="52"/>
      <c r="F1172" s="71"/>
      <c r="G1172" s="52"/>
      <c r="H1172" s="52"/>
      <c r="I1172" s="52"/>
      <c r="J1172" s="52"/>
      <c r="K1172" s="52"/>
      <c r="L1172" s="52"/>
      <c r="M1172" s="52"/>
      <c r="N1172" s="52"/>
      <c r="O1172" s="52"/>
      <c r="P1172" s="52"/>
      <c r="Q1172" s="52"/>
      <c r="R1172" s="52"/>
      <c r="S1172" s="52"/>
      <c r="T1172" s="52"/>
      <c r="U1172" s="52"/>
      <c r="V1172" s="52"/>
      <c r="W1172" s="52"/>
      <c r="X1172" s="52"/>
      <c r="Y1172" s="52"/>
      <c r="Z1172" s="52"/>
    </row>
    <row r="1173" spans="1:26" ht="15.75" customHeight="1">
      <c r="A1173" s="52"/>
      <c r="B1173" s="52"/>
      <c r="C1173" s="52"/>
      <c r="D1173" s="52"/>
      <c r="E1173" s="52"/>
      <c r="F1173" s="71"/>
      <c r="G1173" s="52"/>
      <c r="H1173" s="52"/>
      <c r="I1173" s="52"/>
      <c r="J1173" s="52"/>
      <c r="K1173" s="52"/>
      <c r="L1173" s="52"/>
      <c r="M1173" s="52"/>
      <c r="N1173" s="52"/>
      <c r="O1173" s="52"/>
      <c r="P1173" s="52"/>
      <c r="Q1173" s="52"/>
      <c r="R1173" s="52"/>
      <c r="S1173" s="52"/>
      <c r="T1173" s="52"/>
      <c r="U1173" s="52"/>
      <c r="V1173" s="52"/>
      <c r="W1173" s="52"/>
      <c r="X1173" s="52"/>
      <c r="Y1173" s="52"/>
      <c r="Z1173" s="52"/>
    </row>
    <row r="1174" spans="1:26" ht="15.75" customHeight="1">
      <c r="A1174" s="52"/>
      <c r="B1174" s="52"/>
      <c r="C1174" s="52"/>
      <c r="D1174" s="52"/>
      <c r="E1174" s="52"/>
      <c r="F1174" s="71"/>
      <c r="G1174" s="52"/>
      <c r="H1174" s="52"/>
      <c r="I1174" s="52"/>
      <c r="J1174" s="52"/>
      <c r="K1174" s="52"/>
      <c r="L1174" s="52"/>
      <c r="M1174" s="52"/>
      <c r="N1174" s="52"/>
      <c r="O1174" s="52"/>
      <c r="P1174" s="52"/>
      <c r="Q1174" s="52"/>
      <c r="R1174" s="52"/>
      <c r="S1174" s="52"/>
      <c r="T1174" s="52"/>
      <c r="U1174" s="52"/>
      <c r="V1174" s="52"/>
      <c r="W1174" s="52"/>
      <c r="X1174" s="52"/>
      <c r="Y1174" s="52"/>
      <c r="Z1174" s="52"/>
    </row>
    <row r="1175" spans="1:26" ht="15.75" customHeight="1">
      <c r="A1175" s="52"/>
      <c r="B1175" s="52"/>
      <c r="C1175" s="52"/>
      <c r="D1175" s="52"/>
      <c r="E1175" s="52"/>
      <c r="F1175" s="71"/>
      <c r="G1175" s="52"/>
      <c r="H1175" s="52"/>
      <c r="I1175" s="52"/>
      <c r="J1175" s="52"/>
      <c r="K1175" s="52"/>
      <c r="L1175" s="52"/>
      <c r="M1175" s="52"/>
      <c r="N1175" s="52"/>
      <c r="O1175" s="52"/>
      <c r="P1175" s="52"/>
      <c r="Q1175" s="52"/>
      <c r="R1175" s="52"/>
      <c r="S1175" s="52"/>
      <c r="T1175" s="52"/>
      <c r="U1175" s="52"/>
      <c r="V1175" s="52"/>
      <c r="W1175" s="52"/>
      <c r="X1175" s="52"/>
      <c r="Y1175" s="52"/>
      <c r="Z1175" s="52"/>
    </row>
    <row r="1176" spans="1:26" ht="15.75" customHeight="1">
      <c r="A1176" s="52"/>
      <c r="B1176" s="52"/>
      <c r="C1176" s="52"/>
      <c r="D1176" s="52"/>
      <c r="E1176" s="52"/>
      <c r="F1176" s="71"/>
      <c r="G1176" s="52"/>
      <c r="H1176" s="52"/>
      <c r="I1176" s="52"/>
      <c r="J1176" s="52"/>
      <c r="K1176" s="52"/>
      <c r="L1176" s="52"/>
      <c r="M1176" s="52"/>
      <c r="N1176" s="52"/>
      <c r="O1176" s="52"/>
      <c r="P1176" s="52"/>
      <c r="Q1176" s="52"/>
      <c r="R1176" s="52"/>
      <c r="S1176" s="52"/>
      <c r="T1176" s="52"/>
      <c r="U1176" s="52"/>
      <c r="V1176" s="52"/>
      <c r="W1176" s="52"/>
      <c r="X1176" s="52"/>
      <c r="Y1176" s="52"/>
      <c r="Z1176" s="52"/>
    </row>
    <row r="1177" spans="1:26" ht="15.75" customHeight="1">
      <c r="A1177" s="52"/>
      <c r="B1177" s="52"/>
      <c r="C1177" s="52"/>
      <c r="D1177" s="52"/>
      <c r="E1177" s="52"/>
      <c r="F1177" s="71"/>
      <c r="G1177" s="52"/>
      <c r="H1177" s="52"/>
      <c r="I1177" s="52"/>
      <c r="J1177" s="52"/>
      <c r="K1177" s="52"/>
      <c r="L1177" s="52"/>
      <c r="M1177" s="52"/>
      <c r="N1177" s="52"/>
      <c r="O1177" s="52"/>
      <c r="P1177" s="52"/>
      <c r="Q1177" s="52"/>
      <c r="R1177" s="52"/>
      <c r="S1177" s="52"/>
      <c r="T1177" s="52"/>
      <c r="U1177" s="52"/>
      <c r="V1177" s="52"/>
      <c r="W1177" s="52"/>
      <c r="X1177" s="52"/>
      <c r="Y1177" s="52"/>
      <c r="Z1177" s="52"/>
    </row>
    <row r="1178" spans="1:26" ht="15.75" customHeight="1">
      <c r="A1178" s="52"/>
      <c r="B1178" s="52"/>
      <c r="C1178" s="52"/>
      <c r="D1178" s="52"/>
      <c r="E1178" s="52"/>
      <c r="F1178" s="71"/>
      <c r="G1178" s="52"/>
      <c r="H1178" s="52"/>
      <c r="I1178" s="52"/>
      <c r="J1178" s="52"/>
      <c r="K1178" s="52"/>
      <c r="L1178" s="52"/>
      <c r="M1178" s="52"/>
      <c r="N1178" s="52"/>
      <c r="O1178" s="52"/>
      <c r="P1178" s="52"/>
      <c r="Q1178" s="52"/>
      <c r="R1178" s="52"/>
      <c r="S1178" s="52"/>
      <c r="T1178" s="52"/>
      <c r="U1178" s="52"/>
      <c r="V1178" s="52"/>
      <c r="W1178" s="52"/>
      <c r="X1178" s="52"/>
      <c r="Y1178" s="52"/>
      <c r="Z1178" s="52"/>
    </row>
    <row r="1179" spans="1:26" ht="15.75" customHeight="1">
      <c r="A1179" s="52"/>
      <c r="B1179" s="52"/>
      <c r="C1179" s="52"/>
      <c r="D1179" s="52"/>
      <c r="E1179" s="52"/>
      <c r="F1179" s="71"/>
      <c r="G1179" s="52"/>
      <c r="H1179" s="52"/>
      <c r="I1179" s="52"/>
      <c r="J1179" s="52"/>
      <c r="K1179" s="52"/>
      <c r="L1179" s="52"/>
      <c r="M1179" s="52"/>
      <c r="N1179" s="52"/>
      <c r="O1179" s="52"/>
      <c r="P1179" s="52"/>
      <c r="Q1179" s="52"/>
      <c r="R1179" s="52"/>
      <c r="S1179" s="52"/>
      <c r="T1179" s="52"/>
      <c r="U1179" s="52"/>
      <c r="V1179" s="52"/>
      <c r="W1179" s="52"/>
      <c r="X1179" s="52"/>
      <c r="Y1179" s="52"/>
      <c r="Z1179" s="52"/>
    </row>
    <row r="1180" spans="1:26" ht="15.75" customHeight="1">
      <c r="A1180" s="52"/>
      <c r="B1180" s="52"/>
      <c r="C1180" s="52"/>
      <c r="D1180" s="52"/>
      <c r="E1180" s="52"/>
      <c r="F1180" s="71"/>
      <c r="G1180" s="52"/>
      <c r="H1180" s="52"/>
      <c r="I1180" s="52"/>
      <c r="J1180" s="52"/>
      <c r="K1180" s="52"/>
      <c r="L1180" s="52"/>
      <c r="M1180" s="52"/>
      <c r="N1180" s="52"/>
      <c r="O1180" s="52"/>
      <c r="P1180" s="52"/>
      <c r="Q1180" s="52"/>
      <c r="R1180" s="52"/>
      <c r="S1180" s="52"/>
      <c r="T1180" s="52"/>
      <c r="U1180" s="52"/>
      <c r="V1180" s="52"/>
      <c r="W1180" s="52"/>
      <c r="X1180" s="52"/>
      <c r="Y1180" s="52"/>
      <c r="Z1180" s="52"/>
    </row>
    <row r="1181" spans="1:26" ht="15.75" customHeight="1">
      <c r="A1181" s="52"/>
      <c r="B1181" s="52"/>
      <c r="C1181" s="52"/>
      <c r="D1181" s="52"/>
      <c r="E1181" s="52"/>
      <c r="F1181" s="71"/>
      <c r="G1181" s="52"/>
      <c r="H1181" s="52"/>
      <c r="I1181" s="52"/>
      <c r="J1181" s="52"/>
      <c r="K1181" s="52"/>
      <c r="L1181" s="52"/>
      <c r="M1181" s="52"/>
      <c r="N1181" s="52"/>
      <c r="O1181" s="52"/>
      <c r="P1181" s="52"/>
      <c r="Q1181" s="52"/>
      <c r="R1181" s="52"/>
      <c r="S1181" s="52"/>
      <c r="T1181" s="52"/>
      <c r="U1181" s="52"/>
      <c r="V1181" s="52"/>
      <c r="W1181" s="52"/>
      <c r="X1181" s="52"/>
      <c r="Y1181" s="52"/>
      <c r="Z1181" s="52"/>
    </row>
    <row r="1182" spans="1:26" ht="15.75" customHeight="1">
      <c r="A1182" s="52"/>
      <c r="B1182" s="52"/>
      <c r="C1182" s="52"/>
      <c r="D1182" s="52"/>
      <c r="E1182" s="52"/>
      <c r="F1182" s="71"/>
      <c r="G1182" s="52"/>
      <c r="H1182" s="52"/>
      <c r="I1182" s="52"/>
      <c r="J1182" s="52"/>
      <c r="K1182" s="52"/>
      <c r="L1182" s="52"/>
      <c r="M1182" s="52"/>
      <c r="N1182" s="52"/>
      <c r="O1182" s="52"/>
      <c r="P1182" s="52"/>
      <c r="Q1182" s="52"/>
      <c r="R1182" s="52"/>
      <c r="S1182" s="52"/>
      <c r="T1182" s="52"/>
      <c r="U1182" s="52"/>
      <c r="V1182" s="52"/>
      <c r="W1182" s="52"/>
      <c r="X1182" s="52"/>
      <c r="Y1182" s="52"/>
      <c r="Z1182" s="52"/>
    </row>
    <row r="1183" spans="1:26" ht="15.75" customHeight="1">
      <c r="A1183" s="52"/>
      <c r="B1183" s="52"/>
      <c r="C1183" s="52"/>
      <c r="D1183" s="52"/>
      <c r="E1183" s="52"/>
      <c r="F1183" s="71"/>
      <c r="G1183" s="52"/>
      <c r="H1183" s="52"/>
      <c r="I1183" s="52"/>
      <c r="J1183" s="52"/>
      <c r="K1183" s="52"/>
      <c r="L1183" s="52"/>
      <c r="M1183" s="52"/>
      <c r="N1183" s="52"/>
      <c r="O1183" s="52"/>
      <c r="P1183" s="52"/>
      <c r="Q1183" s="52"/>
      <c r="R1183" s="52"/>
      <c r="S1183" s="52"/>
      <c r="T1183" s="52"/>
      <c r="U1183" s="52"/>
      <c r="V1183" s="52"/>
      <c r="W1183" s="52"/>
      <c r="X1183" s="52"/>
      <c r="Y1183" s="52"/>
      <c r="Z1183" s="52"/>
    </row>
    <row r="1184" spans="1:26" ht="15.75" customHeight="1">
      <c r="A1184" s="52"/>
      <c r="B1184" s="52"/>
      <c r="C1184" s="52"/>
      <c r="D1184" s="52"/>
      <c r="E1184" s="52"/>
      <c r="F1184" s="71"/>
      <c r="G1184" s="52"/>
      <c r="H1184" s="52"/>
      <c r="I1184" s="52"/>
      <c r="J1184" s="52"/>
      <c r="K1184" s="52"/>
      <c r="L1184" s="52"/>
      <c r="M1184" s="52"/>
      <c r="N1184" s="52"/>
      <c r="O1184" s="52"/>
      <c r="P1184" s="52"/>
      <c r="Q1184" s="52"/>
      <c r="R1184" s="52"/>
      <c r="S1184" s="52"/>
      <c r="T1184" s="52"/>
      <c r="U1184" s="52"/>
      <c r="V1184" s="52"/>
      <c r="W1184" s="52"/>
      <c r="X1184" s="52"/>
      <c r="Y1184" s="52"/>
      <c r="Z1184" s="52"/>
    </row>
    <row r="1185" spans="1:26" ht="15.75" customHeight="1">
      <c r="A1185" s="52"/>
      <c r="B1185" s="52"/>
      <c r="C1185" s="52"/>
      <c r="D1185" s="52"/>
      <c r="E1185" s="52"/>
      <c r="F1185" s="71"/>
      <c r="G1185" s="52"/>
      <c r="H1185" s="52"/>
      <c r="I1185" s="52"/>
      <c r="J1185" s="52"/>
      <c r="K1185" s="52"/>
      <c r="L1185" s="52"/>
      <c r="M1185" s="52"/>
      <c r="N1185" s="52"/>
      <c r="O1185" s="52"/>
      <c r="P1185" s="52"/>
      <c r="Q1185" s="52"/>
      <c r="R1185" s="52"/>
      <c r="S1185" s="52"/>
      <c r="T1185" s="52"/>
      <c r="U1185" s="52"/>
      <c r="V1185" s="52"/>
      <c r="W1185" s="52"/>
      <c r="X1185" s="52"/>
      <c r="Y1185" s="52"/>
      <c r="Z1185" s="52"/>
    </row>
    <row r="1186" spans="1:26" ht="15.75" customHeight="1">
      <c r="A1186" s="52"/>
      <c r="B1186" s="52"/>
      <c r="C1186" s="52"/>
      <c r="D1186" s="52"/>
      <c r="E1186" s="52"/>
      <c r="F1186" s="71"/>
      <c r="G1186" s="52"/>
      <c r="H1186" s="52"/>
      <c r="I1186" s="52"/>
      <c r="J1186" s="52"/>
      <c r="K1186" s="52"/>
      <c r="L1186" s="52"/>
      <c r="M1186" s="52"/>
      <c r="N1186" s="52"/>
      <c r="O1186" s="52"/>
      <c r="P1186" s="52"/>
      <c r="Q1186" s="52"/>
      <c r="R1186" s="52"/>
      <c r="S1186" s="52"/>
      <c r="T1186" s="52"/>
      <c r="U1186" s="52"/>
      <c r="V1186" s="52"/>
      <c r="W1186" s="52"/>
      <c r="X1186" s="52"/>
      <c r="Y1186" s="52"/>
      <c r="Z1186" s="52"/>
    </row>
    <row r="1187" spans="1:26" ht="15.75" customHeight="1">
      <c r="A1187" s="52"/>
      <c r="B1187" s="52"/>
      <c r="C1187" s="52"/>
      <c r="D1187" s="52"/>
      <c r="E1187" s="52"/>
      <c r="F1187" s="71"/>
      <c r="G1187" s="52"/>
      <c r="H1187" s="52"/>
      <c r="I1187" s="52"/>
      <c r="J1187" s="52"/>
      <c r="K1187" s="52"/>
      <c r="L1187" s="52"/>
      <c r="M1187" s="52"/>
      <c r="N1187" s="52"/>
      <c r="O1187" s="52"/>
      <c r="P1187" s="52"/>
      <c r="Q1187" s="52"/>
      <c r="R1187" s="52"/>
      <c r="S1187" s="52"/>
      <c r="T1187" s="52"/>
      <c r="U1187" s="52"/>
      <c r="V1187" s="52"/>
      <c r="W1187" s="52"/>
      <c r="X1187" s="52"/>
      <c r="Y1187" s="52"/>
      <c r="Z1187" s="52"/>
    </row>
    <row r="1188" spans="1:26" ht="15.75" customHeight="1">
      <c r="A1188" s="52"/>
      <c r="B1188" s="52"/>
      <c r="C1188" s="52"/>
      <c r="D1188" s="52"/>
      <c r="E1188" s="52"/>
      <c r="F1188" s="71"/>
      <c r="G1188" s="52"/>
      <c r="H1188" s="52"/>
      <c r="I1188" s="52"/>
      <c r="J1188" s="52"/>
      <c r="K1188" s="52"/>
      <c r="L1188" s="52"/>
      <c r="M1188" s="52"/>
      <c r="N1188" s="52"/>
      <c r="O1188" s="52"/>
      <c r="P1188" s="52"/>
      <c r="Q1188" s="52"/>
      <c r="R1188" s="52"/>
      <c r="S1188" s="52"/>
      <c r="T1188" s="52"/>
      <c r="U1188" s="52"/>
      <c r="V1188" s="52"/>
      <c r="W1188" s="52"/>
      <c r="X1188" s="52"/>
      <c r="Y1188" s="52"/>
      <c r="Z1188" s="52"/>
    </row>
    <row r="1189" spans="1:26" ht="15.75" customHeight="1">
      <c r="A1189" s="52"/>
      <c r="B1189" s="52"/>
      <c r="C1189" s="52"/>
      <c r="D1189" s="52"/>
      <c r="E1189" s="52"/>
      <c r="F1189" s="71"/>
      <c r="G1189" s="52"/>
      <c r="H1189" s="52"/>
      <c r="I1189" s="52"/>
      <c r="J1189" s="52"/>
      <c r="K1189" s="52"/>
      <c r="L1189" s="52"/>
      <c r="M1189" s="52"/>
      <c r="N1189" s="52"/>
      <c r="O1189" s="52"/>
      <c r="P1189" s="52"/>
      <c r="Q1189" s="52"/>
      <c r="R1189" s="52"/>
      <c r="S1189" s="52"/>
      <c r="T1189" s="52"/>
      <c r="U1189" s="52"/>
      <c r="V1189" s="52"/>
      <c r="W1189" s="52"/>
      <c r="X1189" s="52"/>
      <c r="Y1189" s="52"/>
      <c r="Z1189" s="52"/>
    </row>
    <row r="1190" spans="1:26" ht="15.75" customHeight="1">
      <c r="A1190" s="52"/>
      <c r="B1190" s="52"/>
      <c r="C1190" s="52"/>
      <c r="D1190" s="52"/>
      <c r="E1190" s="52"/>
      <c r="F1190" s="71"/>
      <c r="G1190" s="52"/>
      <c r="H1190" s="52"/>
      <c r="I1190" s="52"/>
      <c r="J1190" s="52"/>
      <c r="K1190" s="52"/>
      <c r="L1190" s="52"/>
      <c r="M1190" s="52"/>
      <c r="N1190" s="52"/>
      <c r="O1190" s="52"/>
      <c r="P1190" s="52"/>
      <c r="Q1190" s="52"/>
      <c r="R1190" s="52"/>
      <c r="S1190" s="52"/>
      <c r="T1190" s="52"/>
      <c r="U1190" s="52"/>
      <c r="V1190" s="52"/>
      <c r="W1190" s="52"/>
      <c r="X1190" s="52"/>
      <c r="Y1190" s="52"/>
      <c r="Z1190" s="52"/>
    </row>
    <row r="1191" spans="1:26" ht="15.75" customHeight="1">
      <c r="A1191" s="52"/>
      <c r="B1191" s="52"/>
      <c r="C1191" s="52"/>
      <c r="D1191" s="52"/>
      <c r="E1191" s="52"/>
      <c r="F1191" s="71"/>
      <c r="G1191" s="52"/>
      <c r="H1191" s="52"/>
      <c r="I1191" s="52"/>
      <c r="J1191" s="52"/>
      <c r="K1191" s="52"/>
      <c r="L1191" s="52"/>
      <c r="M1191" s="52"/>
      <c r="N1191" s="52"/>
      <c r="O1191" s="52"/>
      <c r="P1191" s="52"/>
      <c r="Q1191" s="52"/>
      <c r="R1191" s="52"/>
      <c r="S1191" s="52"/>
      <c r="T1191" s="52"/>
      <c r="U1191" s="52"/>
      <c r="V1191" s="52"/>
      <c r="W1191" s="52"/>
      <c r="X1191" s="52"/>
      <c r="Y1191" s="52"/>
      <c r="Z1191" s="52"/>
    </row>
    <row r="1192" spans="1:26" ht="15.75" customHeight="1">
      <c r="A1192" s="52"/>
      <c r="B1192" s="52"/>
      <c r="C1192" s="52"/>
      <c r="D1192" s="52"/>
      <c r="E1192" s="52"/>
      <c r="F1192" s="71"/>
      <c r="G1192" s="52"/>
      <c r="H1192" s="52"/>
      <c r="I1192" s="52"/>
      <c r="J1192" s="52"/>
      <c r="K1192" s="52"/>
      <c r="L1192" s="52"/>
      <c r="M1192" s="52"/>
      <c r="N1192" s="52"/>
      <c r="O1192" s="52"/>
      <c r="P1192" s="52"/>
      <c r="Q1192" s="52"/>
      <c r="R1192" s="52"/>
      <c r="S1192" s="52"/>
      <c r="T1192" s="52"/>
      <c r="U1192" s="52"/>
      <c r="V1192" s="52"/>
      <c r="W1192" s="52"/>
      <c r="X1192" s="52"/>
      <c r="Y1192" s="52"/>
      <c r="Z1192" s="52"/>
    </row>
    <row r="1193" spans="1:26" ht="15.75" customHeight="1">
      <c r="A1193" s="52"/>
      <c r="B1193" s="52"/>
      <c r="C1193" s="52"/>
      <c r="D1193" s="52"/>
      <c r="E1193" s="52"/>
      <c r="F1193" s="71"/>
      <c r="G1193" s="52"/>
      <c r="H1193" s="52"/>
      <c r="I1193" s="52"/>
      <c r="J1193" s="52"/>
      <c r="K1193" s="52"/>
      <c r="L1193" s="52"/>
      <c r="M1193" s="52"/>
      <c r="N1193" s="52"/>
      <c r="O1193" s="52"/>
      <c r="P1193" s="52"/>
      <c r="Q1193" s="52"/>
      <c r="R1193" s="52"/>
      <c r="S1193" s="52"/>
      <c r="T1193" s="52"/>
      <c r="U1193" s="52"/>
      <c r="V1193" s="52"/>
      <c r="W1193" s="52"/>
      <c r="X1193" s="52"/>
      <c r="Y1193" s="52"/>
      <c r="Z1193" s="52"/>
    </row>
    <row r="1194" spans="1:26" ht="15.75" customHeight="1">
      <c r="A1194" s="52"/>
      <c r="B1194" s="52"/>
      <c r="C1194" s="52"/>
      <c r="D1194" s="52"/>
      <c r="E1194" s="52"/>
      <c r="F1194" s="71"/>
      <c r="G1194" s="52"/>
      <c r="H1194" s="52"/>
      <c r="I1194" s="52"/>
      <c r="J1194" s="52"/>
      <c r="K1194" s="52"/>
      <c r="L1194" s="52"/>
      <c r="M1194" s="52"/>
      <c r="N1194" s="52"/>
      <c r="O1194" s="52"/>
      <c r="P1194" s="52"/>
      <c r="Q1194" s="52"/>
      <c r="R1194" s="52"/>
      <c r="S1194" s="52"/>
      <c r="T1194" s="52"/>
      <c r="U1194" s="52"/>
      <c r="V1194" s="52"/>
      <c r="W1194" s="52"/>
      <c r="X1194" s="52"/>
      <c r="Y1194" s="52"/>
      <c r="Z1194" s="52"/>
    </row>
    <row r="1195" spans="1:26" ht="15.75" customHeight="1">
      <c r="A1195" s="52"/>
      <c r="B1195" s="52"/>
      <c r="C1195" s="52"/>
      <c r="D1195" s="52"/>
      <c r="E1195" s="52"/>
      <c r="F1195" s="71"/>
      <c r="G1195" s="52"/>
      <c r="H1195" s="52"/>
      <c r="I1195" s="52"/>
      <c r="J1195" s="52"/>
      <c r="K1195" s="52"/>
      <c r="L1195" s="52"/>
      <c r="M1195" s="52"/>
      <c r="N1195" s="52"/>
      <c r="O1195" s="52"/>
      <c r="P1195" s="52"/>
      <c r="Q1195" s="52"/>
      <c r="R1195" s="52"/>
      <c r="S1195" s="52"/>
      <c r="T1195" s="52"/>
      <c r="U1195" s="52"/>
      <c r="V1195" s="52"/>
      <c r="W1195" s="52"/>
      <c r="X1195" s="52"/>
      <c r="Y1195" s="52"/>
      <c r="Z1195" s="52"/>
    </row>
    <row r="1196" spans="1:26" ht="15.75" customHeight="1">
      <c r="A1196" s="52"/>
      <c r="B1196" s="52"/>
      <c r="C1196" s="52"/>
      <c r="D1196" s="52"/>
      <c r="E1196" s="52"/>
      <c r="F1196" s="71"/>
      <c r="G1196" s="52"/>
      <c r="H1196" s="52"/>
      <c r="I1196" s="52"/>
      <c r="J1196" s="52"/>
      <c r="K1196" s="52"/>
      <c r="L1196" s="52"/>
      <c r="M1196" s="52"/>
      <c r="N1196" s="52"/>
      <c r="O1196" s="52"/>
      <c r="P1196" s="52"/>
      <c r="Q1196" s="52"/>
      <c r="R1196" s="52"/>
      <c r="S1196" s="52"/>
      <c r="T1196" s="52"/>
      <c r="U1196" s="52"/>
      <c r="V1196" s="52"/>
      <c r="W1196" s="52"/>
      <c r="X1196" s="52"/>
      <c r="Y1196" s="52"/>
      <c r="Z1196" s="52"/>
    </row>
    <row r="1197" spans="1:26" ht="15.75" customHeight="1">
      <c r="A1197" s="52"/>
      <c r="B1197" s="52"/>
      <c r="C1197" s="52"/>
      <c r="D1197" s="52"/>
      <c r="E1197" s="52"/>
      <c r="F1197" s="71"/>
      <c r="G1197" s="52"/>
      <c r="H1197" s="52"/>
      <c r="I1197" s="52"/>
      <c r="J1197" s="52"/>
      <c r="K1197" s="52"/>
      <c r="L1197" s="52"/>
      <c r="M1197" s="52"/>
      <c r="N1197" s="52"/>
      <c r="O1197" s="52"/>
      <c r="P1197" s="52"/>
      <c r="Q1197" s="52"/>
      <c r="R1197" s="52"/>
      <c r="S1197" s="52"/>
      <c r="T1197" s="52"/>
      <c r="U1197" s="52"/>
      <c r="V1197" s="52"/>
      <c r="W1197" s="52"/>
      <c r="X1197" s="52"/>
      <c r="Y1197" s="52"/>
      <c r="Z1197" s="52"/>
    </row>
    <row r="1198" spans="1:26" ht="15.75" customHeight="1">
      <c r="A1198" s="52"/>
      <c r="B1198" s="52"/>
      <c r="C1198" s="52"/>
      <c r="D1198" s="52"/>
      <c r="E1198" s="52"/>
      <c r="F1198" s="71"/>
      <c r="G1198" s="52"/>
      <c r="H1198" s="52"/>
      <c r="I1198" s="52"/>
      <c r="J1198" s="52"/>
      <c r="K1198" s="52"/>
      <c r="L1198" s="52"/>
      <c r="M1198" s="52"/>
      <c r="N1198" s="52"/>
      <c r="O1198" s="52"/>
      <c r="P1198" s="52"/>
      <c r="Q1198" s="52"/>
      <c r="R1198" s="52"/>
      <c r="S1198" s="52"/>
      <c r="T1198" s="52"/>
      <c r="U1198" s="52"/>
      <c r="V1198" s="52"/>
      <c r="W1198" s="52"/>
      <c r="X1198" s="52"/>
      <c r="Y1198" s="52"/>
      <c r="Z1198" s="52"/>
    </row>
    <row r="1199" spans="1:26" ht="15.75" customHeight="1">
      <c r="A1199" s="52"/>
      <c r="B1199" s="52"/>
      <c r="C1199" s="52"/>
      <c r="D1199" s="52"/>
      <c r="E1199" s="52"/>
      <c r="F1199" s="71"/>
      <c r="G1199" s="52"/>
      <c r="H1199" s="52"/>
      <c r="I1199" s="52"/>
      <c r="J1199" s="52"/>
      <c r="K1199" s="52"/>
      <c r="L1199" s="52"/>
      <c r="M1199" s="52"/>
      <c r="N1199" s="52"/>
      <c r="O1199" s="52"/>
      <c r="P1199" s="52"/>
      <c r="Q1199" s="52"/>
      <c r="R1199" s="52"/>
      <c r="S1199" s="52"/>
      <c r="T1199" s="52"/>
      <c r="U1199" s="52"/>
      <c r="V1199" s="52"/>
      <c r="W1199" s="52"/>
      <c r="X1199" s="52"/>
      <c r="Y1199" s="52"/>
      <c r="Z1199" s="52"/>
    </row>
    <row r="1200" spans="1:26" ht="15.75" customHeight="1">
      <c r="A1200" s="52"/>
      <c r="B1200" s="52"/>
      <c r="C1200" s="52"/>
      <c r="D1200" s="52"/>
      <c r="E1200" s="52"/>
      <c r="F1200" s="71"/>
      <c r="G1200" s="52"/>
      <c r="H1200" s="52"/>
      <c r="I1200" s="52"/>
      <c r="J1200" s="52"/>
      <c r="K1200" s="52"/>
      <c r="L1200" s="52"/>
      <c r="M1200" s="52"/>
      <c r="N1200" s="52"/>
      <c r="O1200" s="52"/>
      <c r="P1200" s="52"/>
      <c r="Q1200" s="52"/>
      <c r="R1200" s="52"/>
      <c r="S1200" s="52"/>
      <c r="T1200" s="52"/>
      <c r="U1200" s="52"/>
      <c r="V1200" s="52"/>
      <c r="W1200" s="52"/>
      <c r="X1200" s="52"/>
      <c r="Y1200" s="52"/>
      <c r="Z1200" s="52"/>
    </row>
    <row r="1201" spans="1:26" ht="15.75" customHeight="1">
      <c r="A1201" s="52"/>
      <c r="B1201" s="52"/>
      <c r="C1201" s="52"/>
      <c r="D1201" s="52"/>
      <c r="E1201" s="52"/>
      <c r="F1201" s="71"/>
      <c r="G1201" s="52"/>
      <c r="H1201" s="52"/>
      <c r="I1201" s="52"/>
      <c r="J1201" s="52"/>
      <c r="K1201" s="52"/>
      <c r="L1201" s="52"/>
      <c r="M1201" s="52"/>
      <c r="N1201" s="52"/>
      <c r="O1201" s="52"/>
      <c r="P1201" s="52"/>
      <c r="Q1201" s="52"/>
      <c r="R1201" s="52"/>
      <c r="S1201" s="52"/>
      <c r="T1201" s="52"/>
      <c r="U1201" s="52"/>
      <c r="V1201" s="52"/>
      <c r="W1201" s="52"/>
      <c r="X1201" s="52"/>
      <c r="Y1201" s="52"/>
      <c r="Z1201" s="52"/>
    </row>
    <row r="1202" spans="1:26" ht="15.75" customHeight="1">
      <c r="A1202" s="52"/>
      <c r="B1202" s="52"/>
      <c r="C1202" s="52"/>
      <c r="D1202" s="52"/>
      <c r="E1202" s="52"/>
      <c r="F1202" s="71"/>
      <c r="G1202" s="52"/>
      <c r="H1202" s="52"/>
      <c r="I1202" s="52"/>
      <c r="J1202" s="52"/>
      <c r="K1202" s="52"/>
      <c r="L1202" s="52"/>
      <c r="M1202" s="52"/>
      <c r="N1202" s="52"/>
      <c r="O1202" s="52"/>
      <c r="P1202" s="52"/>
      <c r="Q1202" s="52"/>
      <c r="R1202" s="52"/>
      <c r="S1202" s="52"/>
      <c r="T1202" s="52"/>
      <c r="U1202" s="52"/>
      <c r="V1202" s="52"/>
      <c r="W1202" s="52"/>
      <c r="X1202" s="52"/>
      <c r="Y1202" s="52"/>
      <c r="Z1202" s="52"/>
    </row>
    <row r="1203" spans="1:26" ht="15.75" customHeight="1">
      <c r="A1203" s="52"/>
      <c r="B1203" s="52"/>
      <c r="C1203" s="52"/>
      <c r="D1203" s="52"/>
      <c r="E1203" s="52"/>
      <c r="F1203" s="71"/>
      <c r="G1203" s="52"/>
      <c r="H1203" s="52"/>
      <c r="I1203" s="52"/>
      <c r="J1203" s="52"/>
      <c r="K1203" s="52"/>
      <c r="L1203" s="52"/>
      <c r="M1203" s="52"/>
      <c r="N1203" s="52"/>
      <c r="O1203" s="52"/>
      <c r="P1203" s="52"/>
      <c r="Q1203" s="52"/>
      <c r="R1203" s="52"/>
      <c r="S1203" s="52"/>
      <c r="T1203" s="52"/>
      <c r="U1203" s="52"/>
      <c r="V1203" s="52"/>
      <c r="W1203" s="52"/>
      <c r="X1203" s="52"/>
      <c r="Y1203" s="52"/>
      <c r="Z1203" s="52"/>
    </row>
    <row r="1204" spans="1:26" ht="15.75" customHeight="1">
      <c r="A1204" s="52"/>
      <c r="B1204" s="52"/>
      <c r="C1204" s="52"/>
      <c r="D1204" s="52"/>
      <c r="E1204" s="52"/>
      <c r="F1204" s="71"/>
      <c r="G1204" s="52"/>
      <c r="H1204" s="52"/>
      <c r="I1204" s="52"/>
      <c r="J1204" s="52"/>
      <c r="K1204" s="52"/>
      <c r="L1204" s="52"/>
      <c r="M1204" s="52"/>
      <c r="N1204" s="52"/>
      <c r="O1204" s="52"/>
      <c r="P1204" s="52"/>
      <c r="Q1204" s="52"/>
      <c r="R1204" s="52"/>
      <c r="S1204" s="52"/>
      <c r="T1204" s="52"/>
      <c r="U1204" s="52"/>
      <c r="V1204" s="52"/>
      <c r="W1204" s="52"/>
      <c r="X1204" s="52"/>
      <c r="Y1204" s="52"/>
      <c r="Z1204" s="52"/>
    </row>
    <row r="1205" spans="1:26" ht="15.75" customHeight="1">
      <c r="A1205" s="52"/>
      <c r="B1205" s="52"/>
      <c r="C1205" s="52"/>
      <c r="D1205" s="52"/>
      <c r="E1205" s="52"/>
      <c r="F1205" s="71"/>
      <c r="G1205" s="52"/>
      <c r="H1205" s="52"/>
      <c r="I1205" s="52"/>
      <c r="J1205" s="52"/>
      <c r="K1205" s="52"/>
      <c r="L1205" s="52"/>
      <c r="M1205" s="52"/>
      <c r="N1205" s="52"/>
      <c r="O1205" s="52"/>
      <c r="P1205" s="52"/>
      <c r="Q1205" s="52"/>
      <c r="R1205" s="52"/>
      <c r="S1205" s="52"/>
      <c r="T1205" s="52"/>
      <c r="U1205" s="52"/>
      <c r="V1205" s="52"/>
      <c r="W1205" s="52"/>
      <c r="X1205" s="52"/>
      <c r="Y1205" s="52"/>
      <c r="Z1205" s="52"/>
    </row>
    <row r="1206" spans="1:26" ht="15.75" customHeight="1">
      <c r="A1206" s="52"/>
      <c r="B1206" s="52"/>
      <c r="C1206" s="52"/>
      <c r="D1206" s="52"/>
      <c r="E1206" s="52"/>
      <c r="F1206" s="71"/>
      <c r="G1206" s="52"/>
      <c r="H1206" s="52"/>
      <c r="I1206" s="52"/>
      <c r="J1206" s="52"/>
      <c r="K1206" s="52"/>
      <c r="L1206" s="52"/>
      <c r="M1206" s="52"/>
      <c r="N1206" s="52"/>
      <c r="O1206" s="52"/>
      <c r="P1206" s="52"/>
      <c r="Q1206" s="52"/>
      <c r="R1206" s="52"/>
      <c r="S1206" s="52"/>
      <c r="T1206" s="52"/>
      <c r="U1206" s="52"/>
      <c r="V1206" s="52"/>
      <c r="W1206" s="52"/>
      <c r="X1206" s="52"/>
      <c r="Y1206" s="52"/>
      <c r="Z1206" s="52"/>
    </row>
    <row r="1207" spans="1:26" ht="15.75" customHeight="1">
      <c r="A1207" s="52"/>
      <c r="B1207" s="52"/>
      <c r="C1207" s="52"/>
      <c r="D1207" s="52"/>
      <c r="E1207" s="52"/>
      <c r="F1207" s="71"/>
      <c r="G1207" s="52"/>
      <c r="H1207" s="52"/>
      <c r="I1207" s="52"/>
      <c r="J1207" s="52"/>
      <c r="K1207" s="52"/>
      <c r="L1207" s="52"/>
      <c r="M1207" s="52"/>
      <c r="N1207" s="52"/>
      <c r="O1207" s="52"/>
      <c r="P1207" s="52"/>
      <c r="Q1207" s="52"/>
      <c r="R1207" s="52"/>
      <c r="S1207" s="52"/>
      <c r="T1207" s="52"/>
      <c r="U1207" s="52"/>
      <c r="V1207" s="52"/>
      <c r="W1207" s="52"/>
      <c r="X1207" s="52"/>
      <c r="Y1207" s="52"/>
      <c r="Z1207" s="52"/>
    </row>
    <row r="1208" spans="1:26" ht="15.75" customHeight="1">
      <c r="A1208" s="52"/>
      <c r="B1208" s="52"/>
      <c r="C1208" s="52"/>
      <c r="D1208" s="52"/>
      <c r="E1208" s="52"/>
      <c r="F1208" s="71"/>
      <c r="G1208" s="52"/>
      <c r="H1208" s="52"/>
      <c r="I1208" s="52"/>
      <c r="J1208" s="52"/>
      <c r="K1208" s="52"/>
      <c r="L1208" s="52"/>
      <c r="M1208" s="52"/>
      <c r="N1208" s="52"/>
      <c r="O1208" s="52"/>
      <c r="P1208" s="52"/>
      <c r="Q1208" s="52"/>
      <c r="R1208" s="52"/>
      <c r="S1208" s="52"/>
      <c r="T1208" s="52"/>
      <c r="U1208" s="52"/>
      <c r="V1208" s="52"/>
      <c r="W1208" s="52"/>
      <c r="X1208" s="52"/>
      <c r="Y1208" s="52"/>
      <c r="Z1208" s="52"/>
    </row>
    <row r="1209" spans="1:26" ht="15.75" customHeight="1">
      <c r="A1209" s="52"/>
      <c r="B1209" s="52"/>
      <c r="C1209" s="52"/>
      <c r="D1209" s="52"/>
      <c r="E1209" s="52"/>
      <c r="F1209" s="71"/>
      <c r="G1209" s="52"/>
      <c r="H1209" s="52"/>
      <c r="I1209" s="52"/>
      <c r="J1209" s="52"/>
      <c r="K1209" s="52"/>
      <c r="L1209" s="52"/>
      <c r="M1209" s="52"/>
      <c r="N1209" s="52"/>
      <c r="O1209" s="52"/>
      <c r="P1209" s="52"/>
      <c r="Q1209" s="52"/>
      <c r="R1209" s="52"/>
      <c r="S1209" s="52"/>
      <c r="T1209" s="52"/>
      <c r="U1209" s="52"/>
      <c r="V1209" s="52"/>
      <c r="W1209" s="52"/>
      <c r="X1209" s="52"/>
      <c r="Y1209" s="52"/>
      <c r="Z1209" s="52"/>
    </row>
    <row r="1210" spans="1:26" ht="15.75" customHeight="1">
      <c r="A1210" s="52"/>
      <c r="B1210" s="52"/>
      <c r="C1210" s="52"/>
      <c r="D1210" s="52"/>
      <c r="E1210" s="52"/>
      <c r="F1210" s="71"/>
      <c r="G1210" s="52"/>
      <c r="H1210" s="52"/>
      <c r="I1210" s="52"/>
      <c r="J1210" s="52"/>
      <c r="K1210" s="52"/>
      <c r="L1210" s="52"/>
      <c r="M1210" s="52"/>
      <c r="N1210" s="52"/>
      <c r="O1210" s="52"/>
      <c r="P1210" s="52"/>
      <c r="Q1210" s="52"/>
      <c r="R1210" s="52"/>
      <c r="S1210" s="52"/>
      <c r="T1210" s="52"/>
      <c r="U1210" s="52"/>
      <c r="V1210" s="52"/>
      <c r="W1210" s="52"/>
      <c r="X1210" s="52"/>
      <c r="Y1210" s="52"/>
      <c r="Z1210" s="52"/>
    </row>
    <row r="1211" spans="1:26" ht="15.75" customHeight="1">
      <c r="A1211" s="52"/>
      <c r="B1211" s="52"/>
      <c r="C1211" s="52"/>
      <c r="D1211" s="52"/>
      <c r="E1211" s="52"/>
      <c r="F1211" s="71"/>
      <c r="G1211" s="52"/>
      <c r="H1211" s="52"/>
      <c r="I1211" s="52"/>
      <c r="J1211" s="52"/>
      <c r="K1211" s="52"/>
      <c r="L1211" s="52"/>
      <c r="M1211" s="52"/>
      <c r="N1211" s="52"/>
      <c r="O1211" s="52"/>
      <c r="P1211" s="52"/>
      <c r="Q1211" s="52"/>
      <c r="R1211" s="52"/>
      <c r="S1211" s="52"/>
      <c r="T1211" s="52"/>
      <c r="U1211" s="52"/>
      <c r="V1211" s="52"/>
      <c r="W1211" s="52"/>
      <c r="X1211" s="52"/>
      <c r="Y1211" s="52"/>
      <c r="Z1211" s="52"/>
    </row>
    <row r="1212" spans="1:26" ht="15.75" customHeight="1">
      <c r="A1212" s="52"/>
      <c r="B1212" s="52"/>
      <c r="C1212" s="52"/>
      <c r="D1212" s="52"/>
      <c r="E1212" s="52"/>
      <c r="F1212" s="71"/>
      <c r="G1212" s="52"/>
      <c r="H1212" s="52"/>
      <c r="I1212" s="52"/>
      <c r="J1212" s="52"/>
      <c r="K1212" s="52"/>
      <c r="L1212" s="52"/>
      <c r="M1212" s="52"/>
      <c r="N1212" s="52"/>
      <c r="O1212" s="52"/>
      <c r="P1212" s="52"/>
      <c r="Q1212" s="52"/>
      <c r="R1212" s="52"/>
      <c r="S1212" s="52"/>
      <c r="T1212" s="52"/>
      <c r="U1212" s="52"/>
      <c r="V1212" s="52"/>
      <c r="W1212" s="52"/>
      <c r="X1212" s="52"/>
      <c r="Y1212" s="52"/>
      <c r="Z1212" s="52"/>
    </row>
    <row r="1213" spans="1:26" ht="15.75" customHeight="1">
      <c r="A1213" s="52"/>
      <c r="B1213" s="52"/>
      <c r="C1213" s="52"/>
      <c r="D1213" s="52"/>
      <c r="E1213" s="52"/>
      <c r="F1213" s="71"/>
      <c r="G1213" s="52"/>
      <c r="H1213" s="52"/>
      <c r="I1213" s="52"/>
      <c r="J1213" s="52"/>
      <c r="K1213" s="52"/>
      <c r="L1213" s="52"/>
      <c r="M1213" s="52"/>
      <c r="N1213" s="52"/>
      <c r="O1213" s="52"/>
      <c r="P1213" s="52"/>
      <c r="Q1213" s="52"/>
      <c r="R1213" s="52"/>
      <c r="S1213" s="52"/>
      <c r="T1213" s="52"/>
      <c r="U1213" s="52"/>
      <c r="V1213" s="52"/>
      <c r="W1213" s="52"/>
      <c r="X1213" s="52"/>
      <c r="Y1213" s="52"/>
      <c r="Z1213" s="52"/>
    </row>
    <row r="1214" spans="1:26" ht="15.75" customHeight="1">
      <c r="A1214" s="52"/>
      <c r="B1214" s="52"/>
      <c r="C1214" s="52"/>
      <c r="D1214" s="52"/>
      <c r="E1214" s="52"/>
      <c r="F1214" s="71"/>
      <c r="G1214" s="52"/>
      <c r="H1214" s="52"/>
      <c r="I1214" s="52"/>
      <c r="J1214" s="52"/>
      <c r="K1214" s="52"/>
      <c r="L1214" s="52"/>
      <c r="M1214" s="52"/>
      <c r="N1214" s="52"/>
      <c r="O1214" s="52"/>
      <c r="P1214" s="52"/>
      <c r="Q1214" s="52"/>
      <c r="R1214" s="52"/>
      <c r="S1214" s="52"/>
      <c r="T1214" s="52"/>
      <c r="U1214" s="52"/>
      <c r="V1214" s="52"/>
      <c r="W1214" s="52"/>
      <c r="X1214" s="52"/>
      <c r="Y1214" s="52"/>
      <c r="Z1214" s="52"/>
    </row>
    <row r="1215" spans="1:26" ht="15.75" customHeight="1">
      <c r="A1215" s="52"/>
      <c r="B1215" s="52"/>
      <c r="C1215" s="52"/>
      <c r="D1215" s="52"/>
      <c r="E1215" s="52"/>
      <c r="F1215" s="71"/>
      <c r="G1215" s="52"/>
      <c r="H1215" s="52"/>
      <c r="I1215" s="52"/>
      <c r="J1215" s="52"/>
      <c r="K1215" s="52"/>
      <c r="L1215" s="52"/>
      <c r="M1215" s="52"/>
      <c r="N1215" s="52"/>
      <c r="O1215" s="52"/>
      <c r="P1215" s="52"/>
      <c r="Q1215" s="52"/>
      <c r="R1215" s="52"/>
      <c r="S1215" s="52"/>
      <c r="T1215" s="52"/>
      <c r="U1215" s="52"/>
      <c r="V1215" s="52"/>
      <c r="W1215" s="52"/>
      <c r="X1215" s="52"/>
      <c r="Y1215" s="52"/>
      <c r="Z1215" s="52"/>
    </row>
    <row r="1216" spans="1:26" ht="15.75" customHeight="1">
      <c r="A1216" s="52"/>
      <c r="B1216" s="52"/>
      <c r="C1216" s="52"/>
      <c r="D1216" s="52"/>
      <c r="E1216" s="52"/>
      <c r="F1216" s="71"/>
      <c r="G1216" s="52"/>
      <c r="H1216" s="52"/>
      <c r="I1216" s="52"/>
      <c r="J1216" s="52"/>
      <c r="K1216" s="52"/>
      <c r="L1216" s="52"/>
      <c r="M1216" s="52"/>
      <c r="N1216" s="52"/>
      <c r="O1216" s="52"/>
      <c r="P1216" s="52"/>
      <c r="Q1216" s="52"/>
      <c r="R1216" s="52"/>
      <c r="S1216" s="52"/>
      <c r="T1216" s="52"/>
      <c r="U1216" s="52"/>
      <c r="V1216" s="52"/>
      <c r="W1216" s="52"/>
      <c r="X1216" s="52"/>
      <c r="Y1216" s="52"/>
      <c r="Z1216" s="52"/>
    </row>
    <row r="1217" spans="1:26" ht="15.75" customHeight="1">
      <c r="A1217" s="52"/>
      <c r="B1217" s="52"/>
      <c r="C1217" s="52"/>
      <c r="D1217" s="52"/>
      <c r="E1217" s="52"/>
      <c r="F1217" s="71"/>
      <c r="G1217" s="52"/>
      <c r="H1217" s="52"/>
      <c r="I1217" s="52"/>
      <c r="J1217" s="52"/>
      <c r="K1217" s="52"/>
      <c r="L1217" s="52"/>
      <c r="M1217" s="52"/>
      <c r="N1217" s="52"/>
      <c r="O1217" s="52"/>
      <c r="P1217" s="52"/>
      <c r="Q1217" s="52"/>
      <c r="R1217" s="52"/>
      <c r="S1217" s="52"/>
      <c r="T1217" s="52"/>
      <c r="U1217" s="52"/>
      <c r="V1217" s="52"/>
      <c r="W1217" s="52"/>
      <c r="X1217" s="52"/>
      <c r="Y1217" s="52"/>
      <c r="Z1217" s="52"/>
    </row>
    <row r="1218" spans="1:26" ht="15.75" customHeight="1">
      <c r="A1218" s="52"/>
      <c r="B1218" s="52"/>
      <c r="C1218" s="52"/>
      <c r="D1218" s="52"/>
      <c r="E1218" s="52"/>
      <c r="F1218" s="71"/>
      <c r="G1218" s="52"/>
      <c r="H1218" s="52"/>
      <c r="I1218" s="52"/>
      <c r="J1218" s="52"/>
      <c r="K1218" s="52"/>
      <c r="L1218" s="52"/>
      <c r="M1218" s="52"/>
      <c r="N1218" s="52"/>
      <c r="O1218" s="52"/>
      <c r="P1218" s="52"/>
      <c r="Q1218" s="52"/>
      <c r="R1218" s="52"/>
      <c r="S1218" s="52"/>
      <c r="T1218" s="52"/>
      <c r="U1218" s="52"/>
      <c r="V1218" s="52"/>
      <c r="W1218" s="52"/>
      <c r="X1218" s="52"/>
      <c r="Y1218" s="52"/>
      <c r="Z1218" s="52"/>
    </row>
    <row r="1219" spans="1:26" ht="15.75" customHeight="1">
      <c r="A1219" s="52"/>
      <c r="B1219" s="52"/>
      <c r="C1219" s="52"/>
      <c r="D1219" s="52"/>
      <c r="E1219" s="52"/>
      <c r="F1219" s="71"/>
      <c r="G1219" s="52"/>
      <c r="H1219" s="52"/>
      <c r="I1219" s="52"/>
      <c r="J1219" s="52"/>
      <c r="K1219" s="52"/>
      <c r="L1219" s="52"/>
      <c r="M1219" s="52"/>
      <c r="N1219" s="52"/>
      <c r="O1219" s="52"/>
      <c r="P1219" s="52"/>
      <c r="Q1219" s="52"/>
      <c r="R1219" s="52"/>
      <c r="S1219" s="52"/>
      <c r="T1219" s="52"/>
      <c r="U1219" s="52"/>
      <c r="V1219" s="52"/>
      <c r="W1219" s="52"/>
      <c r="X1219" s="52"/>
      <c r="Y1219" s="52"/>
      <c r="Z1219" s="52"/>
    </row>
    <row r="1220" spans="1:26" ht="15.75" customHeight="1">
      <c r="A1220" s="52"/>
      <c r="B1220" s="52"/>
      <c r="C1220" s="52"/>
      <c r="D1220" s="52"/>
      <c r="E1220" s="52"/>
      <c r="F1220" s="71"/>
      <c r="G1220" s="52"/>
      <c r="H1220" s="52"/>
      <c r="I1220" s="52"/>
      <c r="J1220" s="52"/>
      <c r="K1220" s="52"/>
      <c r="L1220" s="52"/>
      <c r="M1220" s="52"/>
      <c r="N1220" s="52"/>
      <c r="O1220" s="52"/>
      <c r="P1220" s="52"/>
      <c r="Q1220" s="52"/>
      <c r="R1220" s="52"/>
      <c r="S1220" s="52"/>
      <c r="T1220" s="52"/>
      <c r="U1220" s="52"/>
      <c r="V1220" s="52"/>
      <c r="W1220" s="52"/>
      <c r="X1220" s="52"/>
      <c r="Y1220" s="52"/>
      <c r="Z1220" s="52"/>
    </row>
    <row r="1221" spans="1:26" ht="15.75" customHeight="1">
      <c r="A1221" s="52"/>
      <c r="B1221" s="52"/>
      <c r="C1221" s="52"/>
      <c r="D1221" s="52"/>
      <c r="E1221" s="52"/>
      <c r="F1221" s="71"/>
      <c r="G1221" s="52"/>
      <c r="H1221" s="52"/>
      <c r="I1221" s="52"/>
      <c r="J1221" s="52"/>
      <c r="K1221" s="52"/>
      <c r="L1221" s="52"/>
      <c r="M1221" s="52"/>
      <c r="N1221" s="52"/>
      <c r="O1221" s="52"/>
      <c r="P1221" s="52"/>
      <c r="Q1221" s="52"/>
      <c r="R1221" s="52"/>
      <c r="S1221" s="52"/>
      <c r="T1221" s="52"/>
      <c r="U1221" s="52"/>
      <c r="V1221" s="52"/>
      <c r="W1221" s="52"/>
      <c r="X1221" s="52"/>
      <c r="Y1221" s="52"/>
      <c r="Z1221" s="52"/>
    </row>
    <row r="1222" spans="1:26" ht="15.75" customHeight="1">
      <c r="A1222" s="52"/>
      <c r="B1222" s="52"/>
      <c r="C1222" s="52"/>
      <c r="D1222" s="52"/>
      <c r="E1222" s="52"/>
      <c r="F1222" s="71"/>
      <c r="G1222" s="52"/>
      <c r="H1222" s="52"/>
      <c r="I1222" s="52"/>
      <c r="J1222" s="52"/>
      <c r="K1222" s="52"/>
      <c r="L1222" s="52"/>
      <c r="M1222" s="52"/>
      <c r="N1222" s="52"/>
      <c r="O1222" s="52"/>
      <c r="P1222" s="52"/>
      <c r="Q1222" s="52"/>
      <c r="R1222" s="52"/>
      <c r="S1222" s="52"/>
      <c r="T1222" s="52"/>
      <c r="U1222" s="52"/>
      <c r="V1222" s="52"/>
      <c r="W1222" s="52"/>
      <c r="X1222" s="52"/>
      <c r="Y1222" s="52"/>
      <c r="Z1222" s="52"/>
    </row>
    <row r="1223" spans="1:26" ht="15.75" customHeight="1">
      <c r="A1223" s="52"/>
      <c r="B1223" s="52"/>
      <c r="C1223" s="52"/>
      <c r="D1223" s="52"/>
      <c r="E1223" s="52"/>
      <c r="F1223" s="71"/>
      <c r="G1223" s="52"/>
      <c r="H1223" s="52"/>
      <c r="I1223" s="52"/>
      <c r="J1223" s="52"/>
      <c r="K1223" s="52"/>
      <c r="L1223" s="52"/>
      <c r="M1223" s="52"/>
      <c r="N1223" s="52"/>
      <c r="O1223" s="52"/>
      <c r="P1223" s="52"/>
      <c r="Q1223" s="52"/>
      <c r="R1223" s="52"/>
      <c r="S1223" s="52"/>
      <c r="T1223" s="52"/>
      <c r="U1223" s="52"/>
      <c r="V1223" s="52"/>
      <c r="W1223" s="52"/>
      <c r="X1223" s="52"/>
      <c r="Y1223" s="52"/>
      <c r="Z1223" s="52"/>
    </row>
    <row r="1224" spans="1:26" ht="15.75" customHeight="1">
      <c r="A1224" s="52"/>
      <c r="B1224" s="52"/>
      <c r="C1224" s="52"/>
      <c r="D1224" s="52"/>
      <c r="E1224" s="52"/>
      <c r="F1224" s="71"/>
      <c r="G1224" s="52"/>
      <c r="H1224" s="52"/>
      <c r="I1224" s="52"/>
      <c r="J1224" s="52"/>
      <c r="K1224" s="52"/>
      <c r="L1224" s="52"/>
      <c r="M1224" s="52"/>
      <c r="N1224" s="52"/>
      <c r="O1224" s="52"/>
      <c r="P1224" s="52"/>
      <c r="Q1224" s="52"/>
      <c r="R1224" s="52"/>
      <c r="S1224" s="52"/>
      <c r="T1224" s="52"/>
      <c r="U1224" s="52"/>
      <c r="V1224" s="52"/>
      <c r="W1224" s="52"/>
      <c r="X1224" s="52"/>
      <c r="Y1224" s="52"/>
      <c r="Z1224" s="52"/>
    </row>
    <row r="1225" spans="1:26" ht="15.75" customHeight="1">
      <c r="A1225" s="52"/>
      <c r="B1225" s="52"/>
      <c r="C1225" s="52"/>
      <c r="D1225" s="52"/>
      <c r="E1225" s="52"/>
      <c r="F1225" s="71"/>
      <c r="G1225" s="52"/>
      <c r="H1225" s="52"/>
      <c r="I1225" s="52"/>
      <c r="J1225" s="52"/>
      <c r="K1225" s="52"/>
      <c r="L1225" s="52"/>
      <c r="M1225" s="52"/>
      <c r="N1225" s="52"/>
      <c r="O1225" s="52"/>
      <c r="P1225" s="52"/>
      <c r="Q1225" s="52"/>
      <c r="R1225" s="52"/>
      <c r="S1225" s="52"/>
      <c r="T1225" s="52"/>
      <c r="U1225" s="52"/>
      <c r="V1225" s="52"/>
      <c r="W1225" s="52"/>
      <c r="X1225" s="52"/>
      <c r="Y1225" s="52"/>
      <c r="Z1225" s="52"/>
    </row>
    <row r="1226" spans="1:26" ht="15.75" customHeight="1">
      <c r="A1226" s="52"/>
      <c r="B1226" s="52"/>
      <c r="C1226" s="52"/>
      <c r="D1226" s="52"/>
      <c r="E1226" s="52"/>
      <c r="F1226" s="71"/>
      <c r="G1226" s="52"/>
      <c r="H1226" s="52"/>
      <c r="I1226" s="52"/>
      <c r="J1226" s="52"/>
      <c r="K1226" s="52"/>
      <c r="L1226" s="52"/>
      <c r="M1226" s="52"/>
      <c r="N1226" s="52"/>
      <c r="O1226" s="52"/>
      <c r="P1226" s="52"/>
      <c r="Q1226" s="52"/>
      <c r="R1226" s="52"/>
      <c r="S1226" s="52"/>
      <c r="T1226" s="52"/>
      <c r="U1226" s="52"/>
      <c r="V1226" s="52"/>
      <c r="W1226" s="52"/>
      <c r="X1226" s="52"/>
      <c r="Y1226" s="52"/>
      <c r="Z1226" s="52"/>
    </row>
    <row r="1227" spans="1:26" ht="15.75" customHeight="1">
      <c r="A1227" s="52"/>
      <c r="B1227" s="52"/>
      <c r="C1227" s="52"/>
      <c r="D1227" s="52"/>
      <c r="E1227" s="52"/>
      <c r="F1227" s="71"/>
      <c r="G1227" s="52"/>
      <c r="H1227" s="52"/>
      <c r="I1227" s="52"/>
      <c r="J1227" s="52"/>
      <c r="K1227" s="52"/>
      <c r="L1227" s="52"/>
      <c r="M1227" s="52"/>
      <c r="N1227" s="52"/>
      <c r="O1227" s="52"/>
      <c r="P1227" s="52"/>
      <c r="Q1227" s="52"/>
      <c r="R1227" s="52"/>
      <c r="S1227" s="52"/>
      <c r="T1227" s="52"/>
      <c r="U1227" s="52"/>
      <c r="V1227" s="52"/>
      <c r="W1227" s="52"/>
      <c r="X1227" s="52"/>
      <c r="Y1227" s="52"/>
      <c r="Z1227" s="52"/>
    </row>
    <row r="1228" spans="1:26" ht="15.75" customHeight="1">
      <c r="A1228" s="52"/>
      <c r="B1228" s="52"/>
      <c r="C1228" s="52"/>
      <c r="D1228" s="52"/>
      <c r="E1228" s="52"/>
      <c r="F1228" s="71"/>
      <c r="G1228" s="52"/>
      <c r="H1228" s="52"/>
      <c r="I1228" s="52"/>
      <c r="J1228" s="52"/>
      <c r="K1228" s="52"/>
      <c r="L1228" s="52"/>
      <c r="M1228" s="52"/>
      <c r="N1228" s="52"/>
      <c r="O1228" s="52"/>
      <c r="P1228" s="52"/>
      <c r="Q1228" s="52"/>
      <c r="R1228" s="52"/>
      <c r="S1228" s="52"/>
      <c r="T1228" s="52"/>
      <c r="U1228" s="52"/>
      <c r="V1228" s="52"/>
      <c r="W1228" s="52"/>
      <c r="X1228" s="52"/>
      <c r="Y1228" s="52"/>
      <c r="Z1228" s="52"/>
    </row>
    <row r="1229" spans="1:26" ht="15.75" customHeight="1">
      <c r="A1229" s="52"/>
      <c r="B1229" s="52"/>
      <c r="C1229" s="52"/>
      <c r="D1229" s="52"/>
      <c r="E1229" s="52"/>
      <c r="F1229" s="71"/>
      <c r="G1229" s="52"/>
      <c r="H1229" s="52"/>
      <c r="I1229" s="52"/>
      <c r="J1229" s="52"/>
      <c r="K1229" s="52"/>
      <c r="L1229" s="52"/>
      <c r="M1229" s="52"/>
      <c r="N1229" s="52"/>
      <c r="O1229" s="52"/>
      <c r="P1229" s="52"/>
      <c r="Q1229" s="52"/>
      <c r="R1229" s="52"/>
      <c r="S1229" s="52"/>
      <c r="T1229" s="52"/>
      <c r="U1229" s="52"/>
      <c r="V1229" s="52"/>
      <c r="W1229" s="52"/>
      <c r="X1229" s="52"/>
      <c r="Y1229" s="52"/>
      <c r="Z1229" s="52"/>
    </row>
    <row r="1230" spans="1:26" ht="15.75" customHeight="1">
      <c r="A1230" s="52"/>
      <c r="B1230" s="52"/>
      <c r="C1230" s="52"/>
      <c r="D1230" s="52"/>
      <c r="E1230" s="52"/>
      <c r="F1230" s="71"/>
      <c r="G1230" s="52"/>
      <c r="H1230" s="52"/>
      <c r="I1230" s="52"/>
      <c r="J1230" s="52"/>
      <c r="K1230" s="52"/>
      <c r="L1230" s="52"/>
      <c r="M1230" s="52"/>
      <c r="N1230" s="52"/>
      <c r="O1230" s="52"/>
      <c r="P1230" s="52"/>
      <c r="Q1230" s="52"/>
      <c r="R1230" s="52"/>
      <c r="S1230" s="52"/>
      <c r="T1230" s="52"/>
      <c r="U1230" s="52"/>
      <c r="V1230" s="52"/>
      <c r="W1230" s="52"/>
      <c r="X1230" s="52"/>
      <c r="Y1230" s="52"/>
      <c r="Z1230" s="52"/>
    </row>
    <row r="1231" spans="1:26" ht="15.75" customHeight="1">
      <c r="A1231" s="52"/>
      <c r="B1231" s="52"/>
      <c r="C1231" s="52"/>
      <c r="D1231" s="52"/>
      <c r="E1231" s="52"/>
      <c r="F1231" s="71"/>
      <c r="G1231" s="52"/>
      <c r="H1231" s="52"/>
      <c r="I1231" s="52"/>
      <c r="J1231" s="52"/>
      <c r="K1231" s="52"/>
      <c r="L1231" s="52"/>
      <c r="M1231" s="52"/>
      <c r="N1231" s="52"/>
      <c r="O1231" s="52"/>
      <c r="P1231" s="52"/>
      <c r="Q1231" s="52"/>
      <c r="R1231" s="52"/>
      <c r="S1231" s="52"/>
      <c r="T1231" s="52"/>
      <c r="U1231" s="52"/>
      <c r="V1231" s="52"/>
      <c r="W1231" s="52"/>
      <c r="X1231" s="52"/>
      <c r="Y1231" s="52"/>
      <c r="Z1231" s="52"/>
    </row>
    <row r="1232" spans="1:26" ht="15.75" customHeight="1">
      <c r="A1232" s="52"/>
      <c r="B1232" s="52"/>
      <c r="C1232" s="52"/>
      <c r="D1232" s="52"/>
      <c r="E1232" s="52"/>
      <c r="F1232" s="71"/>
      <c r="G1232" s="52"/>
      <c r="H1232" s="52"/>
      <c r="I1232" s="52"/>
      <c r="J1232" s="52"/>
      <c r="K1232" s="52"/>
      <c r="L1232" s="52"/>
      <c r="M1232" s="52"/>
      <c r="N1232" s="52"/>
      <c r="O1232" s="52"/>
      <c r="P1232" s="52"/>
      <c r="Q1232" s="52"/>
      <c r="R1232" s="52"/>
      <c r="S1232" s="52"/>
      <c r="T1232" s="52"/>
      <c r="U1232" s="52"/>
      <c r="V1232" s="52"/>
      <c r="W1232" s="52"/>
      <c r="X1232" s="52"/>
      <c r="Y1232" s="52"/>
      <c r="Z1232" s="52"/>
    </row>
    <row r="1233" spans="1:26" ht="15.75" customHeight="1">
      <c r="A1233" s="52"/>
      <c r="B1233" s="52"/>
      <c r="C1233" s="52"/>
      <c r="D1233" s="52"/>
      <c r="E1233" s="52"/>
      <c r="F1233" s="71"/>
      <c r="G1233" s="52"/>
      <c r="H1233" s="52"/>
      <c r="I1233" s="52"/>
      <c r="J1233" s="52"/>
      <c r="K1233" s="52"/>
      <c r="L1233" s="52"/>
      <c r="M1233" s="52"/>
      <c r="N1233" s="52"/>
      <c r="O1233" s="52"/>
      <c r="P1233" s="52"/>
      <c r="Q1233" s="52"/>
      <c r="R1233" s="52"/>
      <c r="S1233" s="52"/>
      <c r="T1233" s="52"/>
      <c r="U1233" s="52"/>
      <c r="V1233" s="52"/>
      <c r="W1233" s="52"/>
      <c r="X1233" s="52"/>
      <c r="Y1233" s="52"/>
      <c r="Z1233" s="52"/>
    </row>
    <row r="1234" spans="1:26" ht="15.75" customHeight="1">
      <c r="A1234" s="52"/>
      <c r="B1234" s="52"/>
      <c r="C1234" s="52"/>
      <c r="D1234" s="52"/>
      <c r="E1234" s="52"/>
      <c r="F1234" s="71"/>
      <c r="G1234" s="52"/>
      <c r="H1234" s="52"/>
      <c r="I1234" s="52"/>
      <c r="J1234" s="52"/>
      <c r="K1234" s="52"/>
      <c r="L1234" s="52"/>
      <c r="M1234" s="52"/>
      <c r="N1234" s="52"/>
      <c r="O1234" s="52"/>
      <c r="P1234" s="52"/>
      <c r="Q1234" s="52"/>
      <c r="R1234" s="52"/>
      <c r="S1234" s="52"/>
      <c r="T1234" s="52"/>
      <c r="U1234" s="52"/>
      <c r="V1234" s="52"/>
      <c r="W1234" s="52"/>
      <c r="X1234" s="52"/>
      <c r="Y1234" s="52"/>
      <c r="Z1234" s="52"/>
    </row>
    <row r="1235" spans="1:26" ht="15.75" customHeight="1">
      <c r="A1235" s="52"/>
      <c r="B1235" s="52"/>
      <c r="C1235" s="52"/>
      <c r="D1235" s="52"/>
      <c r="E1235" s="52"/>
      <c r="F1235" s="71"/>
      <c r="G1235" s="52"/>
      <c r="H1235" s="52"/>
      <c r="I1235" s="52"/>
      <c r="J1235" s="52"/>
      <c r="K1235" s="52"/>
      <c r="L1235" s="52"/>
      <c r="M1235" s="52"/>
      <c r="N1235" s="52"/>
      <c r="O1235" s="52"/>
      <c r="P1235" s="52"/>
      <c r="Q1235" s="52"/>
      <c r="R1235" s="52"/>
      <c r="S1235" s="52"/>
      <c r="T1235" s="52"/>
      <c r="U1235" s="52"/>
      <c r="V1235" s="52"/>
      <c r="W1235" s="52"/>
      <c r="X1235" s="52"/>
      <c r="Y1235" s="52"/>
      <c r="Z1235" s="52"/>
    </row>
    <row r="1236" spans="1:26" ht="15.75" customHeight="1">
      <c r="A1236" s="52"/>
      <c r="B1236" s="52"/>
      <c r="C1236" s="52"/>
      <c r="D1236" s="52"/>
      <c r="E1236" s="52"/>
      <c r="F1236" s="71"/>
      <c r="G1236" s="52"/>
      <c r="H1236" s="52"/>
      <c r="I1236" s="52"/>
      <c r="J1236" s="52"/>
      <c r="K1236" s="52"/>
      <c r="L1236" s="52"/>
      <c r="M1236" s="52"/>
      <c r="N1236" s="52"/>
      <c r="O1236" s="52"/>
      <c r="P1236" s="52"/>
      <c r="Q1236" s="52"/>
      <c r="R1236" s="52"/>
      <c r="S1236" s="52"/>
      <c r="T1236" s="52"/>
      <c r="U1236" s="52"/>
      <c r="V1236" s="52"/>
      <c r="W1236" s="52"/>
      <c r="X1236" s="52"/>
      <c r="Y1236" s="52"/>
      <c r="Z1236" s="52"/>
    </row>
    <row r="1237" spans="1:26" ht="15.75" customHeight="1">
      <c r="A1237" s="52"/>
      <c r="B1237" s="52"/>
      <c r="C1237" s="52"/>
      <c r="D1237" s="52"/>
      <c r="E1237" s="52"/>
      <c r="F1237" s="71"/>
      <c r="G1237" s="52"/>
      <c r="H1237" s="52"/>
      <c r="I1237" s="52"/>
      <c r="J1237" s="52"/>
      <c r="K1237" s="52"/>
      <c r="L1237" s="52"/>
      <c r="M1237" s="52"/>
      <c r="N1237" s="52"/>
      <c r="O1237" s="52"/>
      <c r="P1237" s="52"/>
      <c r="Q1237" s="52"/>
      <c r="R1237" s="52"/>
      <c r="S1237" s="52"/>
      <c r="T1237" s="52"/>
      <c r="U1237" s="52"/>
      <c r="V1237" s="52"/>
      <c r="W1237" s="52"/>
      <c r="X1237" s="52"/>
      <c r="Y1237" s="52"/>
      <c r="Z1237" s="52"/>
    </row>
    <row r="1238" spans="1:26" ht="15.75" customHeight="1">
      <c r="A1238" s="52"/>
      <c r="B1238" s="52"/>
      <c r="C1238" s="52"/>
      <c r="D1238" s="52"/>
      <c r="E1238" s="52"/>
      <c r="F1238" s="71"/>
      <c r="G1238" s="52"/>
      <c r="H1238" s="52"/>
      <c r="I1238" s="52"/>
      <c r="J1238" s="52"/>
      <c r="K1238" s="52"/>
      <c r="L1238" s="52"/>
      <c r="M1238" s="52"/>
      <c r="N1238" s="52"/>
      <c r="O1238" s="52"/>
      <c r="P1238" s="52"/>
      <c r="Q1238" s="52"/>
      <c r="R1238" s="52"/>
      <c r="S1238" s="52"/>
      <c r="T1238" s="52"/>
      <c r="U1238" s="52"/>
      <c r="V1238" s="52"/>
      <c r="W1238" s="52"/>
      <c r="X1238" s="52"/>
      <c r="Y1238" s="52"/>
      <c r="Z1238" s="52"/>
    </row>
    <row r="1239" spans="1:26" ht="15.75" customHeight="1">
      <c r="A1239" s="52"/>
      <c r="B1239" s="52"/>
      <c r="C1239" s="52"/>
      <c r="D1239" s="52"/>
      <c r="E1239" s="52"/>
      <c r="F1239" s="71"/>
      <c r="G1239" s="52"/>
      <c r="H1239" s="52"/>
      <c r="I1239" s="52"/>
      <c r="J1239" s="52"/>
      <c r="K1239" s="52"/>
      <c r="L1239" s="52"/>
      <c r="M1239" s="52"/>
      <c r="N1239" s="52"/>
      <c r="O1239" s="52"/>
      <c r="P1239" s="52"/>
      <c r="Q1239" s="52"/>
      <c r="R1239" s="52"/>
      <c r="S1239" s="52"/>
      <c r="T1239" s="52"/>
      <c r="U1239" s="52"/>
      <c r="V1239" s="52"/>
      <c r="W1239" s="52"/>
      <c r="X1239" s="52"/>
      <c r="Y1239" s="52"/>
      <c r="Z1239" s="52"/>
    </row>
    <row r="1240" spans="1:26" ht="15.75" customHeight="1">
      <c r="A1240" s="52"/>
      <c r="B1240" s="52"/>
      <c r="C1240" s="52"/>
      <c r="D1240" s="52"/>
      <c r="E1240" s="52"/>
      <c r="F1240" s="71"/>
      <c r="G1240" s="52"/>
      <c r="H1240" s="52"/>
      <c r="I1240" s="52"/>
      <c r="J1240" s="52"/>
      <c r="K1240" s="52"/>
      <c r="L1240" s="52"/>
      <c r="M1240" s="52"/>
      <c r="N1240" s="52"/>
      <c r="O1240" s="52"/>
      <c r="P1240" s="52"/>
      <c r="Q1240" s="52"/>
      <c r="R1240" s="52"/>
      <c r="S1240" s="52"/>
      <c r="T1240" s="52"/>
      <c r="U1240" s="52"/>
      <c r="V1240" s="52"/>
      <c r="W1240" s="52"/>
      <c r="X1240" s="52"/>
      <c r="Y1240" s="52"/>
      <c r="Z1240" s="52"/>
    </row>
    <row r="1241" spans="1:26" ht="15.75" customHeight="1">
      <c r="A1241" s="52"/>
      <c r="B1241" s="52"/>
      <c r="C1241" s="52"/>
      <c r="D1241" s="52"/>
      <c r="E1241" s="52"/>
      <c r="F1241" s="71"/>
      <c r="G1241" s="52"/>
      <c r="H1241" s="52"/>
      <c r="I1241" s="52"/>
      <c r="J1241" s="52"/>
      <c r="K1241" s="52"/>
      <c r="L1241" s="52"/>
      <c r="M1241" s="52"/>
      <c r="N1241" s="52"/>
      <c r="O1241" s="52"/>
      <c r="P1241" s="52"/>
      <c r="Q1241" s="52"/>
      <c r="R1241" s="52"/>
      <c r="S1241" s="52"/>
      <c r="T1241" s="52"/>
      <c r="U1241" s="52"/>
      <c r="V1241" s="52"/>
      <c r="W1241" s="52"/>
      <c r="X1241" s="52"/>
      <c r="Y1241" s="52"/>
      <c r="Z1241" s="52"/>
    </row>
    <row r="1242" spans="1:26" ht="15.75" customHeight="1">
      <c r="A1242" s="52"/>
      <c r="B1242" s="52"/>
      <c r="C1242" s="52"/>
      <c r="D1242" s="52"/>
      <c r="E1242" s="52"/>
      <c r="F1242" s="71"/>
      <c r="G1242" s="52"/>
      <c r="H1242" s="52"/>
      <c r="I1242" s="52"/>
      <c r="J1242" s="52"/>
      <c r="K1242" s="52"/>
      <c r="L1242" s="52"/>
      <c r="M1242" s="52"/>
      <c r="N1242" s="52"/>
      <c r="O1242" s="52"/>
      <c r="P1242" s="52"/>
      <c r="Q1242" s="52"/>
      <c r="R1242" s="52"/>
      <c r="S1242" s="52"/>
      <c r="T1242" s="52"/>
      <c r="U1242" s="52"/>
      <c r="V1242" s="52"/>
      <c r="W1242" s="52"/>
      <c r="X1242" s="52"/>
      <c r="Y1242" s="52"/>
      <c r="Z1242" s="52"/>
    </row>
    <row r="1243" spans="1:26" ht="15.75" customHeight="1">
      <c r="A1243" s="52"/>
      <c r="B1243" s="52"/>
      <c r="C1243" s="52"/>
      <c r="D1243" s="52"/>
      <c r="E1243" s="52"/>
      <c r="F1243" s="71"/>
      <c r="G1243" s="52"/>
      <c r="H1243" s="52"/>
      <c r="I1243" s="52"/>
      <c r="J1243" s="52"/>
      <c r="K1243" s="52"/>
      <c r="L1243" s="52"/>
      <c r="M1243" s="52"/>
      <c r="N1243" s="52"/>
      <c r="O1243" s="52"/>
      <c r="P1243" s="52"/>
      <c r="Q1243" s="52"/>
      <c r="R1243" s="52"/>
      <c r="S1243" s="52"/>
      <c r="T1243" s="52"/>
      <c r="U1243" s="52"/>
      <c r="V1243" s="52"/>
      <c r="W1243" s="52"/>
      <c r="X1243" s="52"/>
      <c r="Y1243" s="52"/>
      <c r="Z1243" s="52"/>
    </row>
    <row r="1244" spans="1:26" ht="15.75" customHeight="1">
      <c r="A1244" s="52"/>
      <c r="B1244" s="52"/>
      <c r="C1244" s="52"/>
      <c r="D1244" s="52"/>
      <c r="E1244" s="52"/>
      <c r="F1244" s="71"/>
      <c r="G1244" s="52"/>
      <c r="H1244" s="52"/>
      <c r="I1244" s="52"/>
      <c r="J1244" s="52"/>
      <c r="K1244" s="52"/>
      <c r="L1244" s="52"/>
      <c r="M1244" s="52"/>
      <c r="N1244" s="52"/>
      <c r="O1244" s="52"/>
      <c r="P1244" s="52"/>
      <c r="Q1244" s="52"/>
      <c r="R1244" s="52"/>
      <c r="S1244" s="52"/>
      <c r="T1244" s="52"/>
      <c r="U1244" s="52"/>
      <c r="V1244" s="52"/>
      <c r="W1244" s="52"/>
      <c r="X1244" s="52"/>
      <c r="Y1244" s="52"/>
      <c r="Z1244" s="52"/>
    </row>
    <row r="1245" spans="1:26" ht="15.75" customHeight="1">
      <c r="A1245" s="52"/>
      <c r="B1245" s="52"/>
      <c r="C1245" s="52"/>
      <c r="D1245" s="52"/>
      <c r="E1245" s="52"/>
      <c r="F1245" s="71"/>
      <c r="G1245" s="52"/>
      <c r="H1245" s="52"/>
      <c r="I1245" s="52"/>
      <c r="J1245" s="52"/>
      <c r="K1245" s="52"/>
      <c r="L1245" s="52"/>
      <c r="M1245" s="52"/>
      <c r="N1245" s="52"/>
      <c r="O1245" s="52"/>
      <c r="P1245" s="52"/>
      <c r="Q1245" s="52"/>
      <c r="R1245" s="52"/>
      <c r="S1245" s="52"/>
      <c r="T1245" s="52"/>
      <c r="U1245" s="52"/>
      <c r="V1245" s="52"/>
      <c r="W1245" s="52"/>
      <c r="X1245" s="52"/>
      <c r="Y1245" s="52"/>
      <c r="Z1245" s="52"/>
    </row>
    <row r="1246" spans="1:26" ht="15.75" customHeight="1">
      <c r="A1246" s="52"/>
      <c r="B1246" s="52"/>
      <c r="C1246" s="52"/>
      <c r="D1246" s="52"/>
      <c r="E1246" s="52"/>
      <c r="F1246" s="71"/>
      <c r="G1246" s="52"/>
      <c r="H1246" s="52"/>
      <c r="I1246" s="52"/>
      <c r="J1246" s="52"/>
      <c r="K1246" s="52"/>
      <c r="L1246" s="52"/>
      <c r="M1246" s="52"/>
      <c r="N1246" s="52"/>
      <c r="O1246" s="52"/>
      <c r="P1246" s="52"/>
      <c r="Q1246" s="52"/>
      <c r="R1246" s="52"/>
      <c r="S1246" s="52"/>
      <c r="T1246" s="52"/>
      <c r="U1246" s="52"/>
      <c r="V1246" s="52"/>
      <c r="W1246" s="52"/>
      <c r="X1246" s="52"/>
      <c r="Y1246" s="52"/>
      <c r="Z1246" s="52"/>
    </row>
    <row r="1247" spans="1:26" ht="15.75" customHeight="1">
      <c r="A1247" s="52"/>
      <c r="B1247" s="52"/>
      <c r="C1247" s="52"/>
      <c r="D1247" s="52"/>
      <c r="E1247" s="52"/>
      <c r="F1247" s="71"/>
      <c r="G1247" s="52"/>
      <c r="H1247" s="52"/>
      <c r="I1247" s="52"/>
      <c r="J1247" s="52"/>
      <c r="K1247" s="52"/>
      <c r="L1247" s="52"/>
      <c r="M1247" s="52"/>
      <c r="N1247" s="52"/>
      <c r="O1247" s="52"/>
      <c r="P1247" s="52"/>
      <c r="Q1247" s="52"/>
      <c r="R1247" s="52"/>
      <c r="S1247" s="52"/>
      <c r="T1247" s="52"/>
      <c r="U1247" s="52"/>
      <c r="V1247" s="52"/>
      <c r="W1247" s="52"/>
      <c r="X1247" s="52"/>
      <c r="Y1247" s="52"/>
      <c r="Z1247" s="52"/>
    </row>
    <row r="1248" spans="1:26" ht="15.75" customHeight="1">
      <c r="A1248" s="52"/>
      <c r="B1248" s="52"/>
      <c r="C1248" s="52"/>
      <c r="D1248" s="52"/>
      <c r="E1248" s="52"/>
      <c r="F1248" s="71"/>
      <c r="G1248" s="52"/>
      <c r="H1248" s="52"/>
      <c r="I1248" s="52"/>
      <c r="J1248" s="52"/>
      <c r="K1248" s="52"/>
      <c r="L1248" s="52"/>
      <c r="M1248" s="52"/>
      <c r="N1248" s="52"/>
      <c r="O1248" s="52"/>
      <c r="P1248" s="52"/>
      <c r="Q1248" s="52"/>
      <c r="R1248" s="52"/>
      <c r="S1248" s="52"/>
      <c r="T1248" s="52"/>
      <c r="U1248" s="52"/>
      <c r="V1248" s="52"/>
      <c r="W1248" s="52"/>
      <c r="X1248" s="52"/>
      <c r="Y1248" s="52"/>
      <c r="Z1248" s="52"/>
    </row>
    <row r="1249" spans="1:26" ht="15.75" customHeight="1">
      <c r="A1249" s="52"/>
      <c r="B1249" s="52"/>
      <c r="C1249" s="52"/>
      <c r="D1249" s="52"/>
      <c r="E1249" s="52"/>
      <c r="F1249" s="71"/>
      <c r="G1249" s="52"/>
      <c r="H1249" s="52"/>
      <c r="I1249" s="52"/>
      <c r="J1249" s="52"/>
      <c r="K1249" s="52"/>
      <c r="L1249" s="52"/>
      <c r="M1249" s="52"/>
      <c r="N1249" s="52"/>
      <c r="O1249" s="52"/>
      <c r="P1249" s="52"/>
      <c r="Q1249" s="52"/>
      <c r="R1249" s="52"/>
      <c r="S1249" s="52"/>
      <c r="T1249" s="52"/>
      <c r="U1249" s="52"/>
      <c r="V1249" s="52"/>
      <c r="W1249" s="52"/>
      <c r="X1249" s="52"/>
      <c r="Y1249" s="52"/>
      <c r="Z1249" s="52"/>
    </row>
    <row r="1250" spans="1:26" ht="15.75" customHeight="1">
      <c r="A1250" s="52"/>
      <c r="B1250" s="52"/>
      <c r="C1250" s="52"/>
      <c r="D1250" s="52"/>
      <c r="E1250" s="52"/>
      <c r="F1250" s="71"/>
      <c r="G1250" s="52"/>
      <c r="H1250" s="52"/>
      <c r="I1250" s="52"/>
      <c r="J1250" s="52"/>
      <c r="K1250" s="52"/>
      <c r="L1250" s="52"/>
      <c r="M1250" s="52"/>
      <c r="N1250" s="52"/>
      <c r="O1250" s="52"/>
      <c r="P1250" s="52"/>
      <c r="Q1250" s="52"/>
      <c r="R1250" s="52"/>
      <c r="S1250" s="52"/>
      <c r="T1250" s="52"/>
      <c r="U1250" s="52"/>
      <c r="V1250" s="52"/>
      <c r="W1250" s="52"/>
      <c r="X1250" s="52"/>
      <c r="Y1250" s="52"/>
      <c r="Z1250" s="52"/>
    </row>
    <row r="1251" spans="1:26" ht="15.75" customHeight="1">
      <c r="A1251" s="52"/>
      <c r="B1251" s="52"/>
      <c r="C1251" s="52"/>
      <c r="D1251" s="52"/>
      <c r="E1251" s="52"/>
      <c r="F1251" s="71"/>
      <c r="G1251" s="52"/>
      <c r="H1251" s="52"/>
      <c r="I1251" s="52"/>
      <c r="J1251" s="52"/>
      <c r="K1251" s="52"/>
      <c r="L1251" s="52"/>
      <c r="M1251" s="52"/>
      <c r="N1251" s="52"/>
      <c r="O1251" s="52"/>
      <c r="P1251" s="52"/>
      <c r="Q1251" s="52"/>
      <c r="R1251" s="52"/>
      <c r="S1251" s="52"/>
      <c r="T1251" s="52"/>
      <c r="U1251" s="52"/>
      <c r="V1251" s="52"/>
      <c r="W1251" s="52"/>
      <c r="X1251" s="52"/>
      <c r="Y1251" s="52"/>
      <c r="Z1251" s="52"/>
    </row>
    <row r="1252" spans="1:26" ht="15.75" customHeight="1">
      <c r="A1252" s="52"/>
      <c r="B1252" s="52"/>
      <c r="C1252" s="52"/>
      <c r="D1252" s="52"/>
      <c r="E1252" s="52"/>
      <c r="F1252" s="71"/>
      <c r="G1252" s="52"/>
      <c r="H1252" s="52"/>
      <c r="I1252" s="52"/>
      <c r="J1252" s="52"/>
      <c r="K1252" s="52"/>
      <c r="L1252" s="52"/>
      <c r="M1252" s="52"/>
      <c r="N1252" s="52"/>
      <c r="O1252" s="52"/>
      <c r="P1252" s="52"/>
      <c r="Q1252" s="52"/>
      <c r="R1252" s="52"/>
      <c r="S1252" s="52"/>
      <c r="T1252" s="52"/>
      <c r="U1252" s="52"/>
      <c r="V1252" s="52"/>
      <c r="W1252" s="52"/>
      <c r="X1252" s="52"/>
      <c r="Y1252" s="52"/>
      <c r="Z1252" s="52"/>
    </row>
    <row r="1253" spans="1:26" ht="15.75" customHeight="1">
      <c r="A1253" s="52"/>
      <c r="B1253" s="52"/>
      <c r="C1253" s="52"/>
      <c r="D1253" s="52"/>
      <c r="E1253" s="52"/>
      <c r="F1253" s="71"/>
      <c r="G1253" s="52"/>
      <c r="H1253" s="52"/>
      <c r="I1253" s="52"/>
      <c r="J1253" s="52"/>
      <c r="K1253" s="52"/>
      <c r="L1253" s="52"/>
      <c r="M1253" s="52"/>
      <c r="N1253" s="52"/>
      <c r="O1253" s="52"/>
      <c r="P1253" s="52"/>
      <c r="Q1253" s="52"/>
      <c r="R1253" s="52"/>
      <c r="S1253" s="52"/>
      <c r="T1253" s="52"/>
      <c r="U1253" s="52"/>
      <c r="V1253" s="52"/>
      <c r="W1253" s="52"/>
      <c r="X1253" s="52"/>
      <c r="Y1253" s="52"/>
      <c r="Z1253" s="52"/>
    </row>
    <row r="1254" spans="1:26" ht="15.75" customHeight="1">
      <c r="A1254" s="52"/>
      <c r="B1254" s="52"/>
      <c r="C1254" s="52"/>
      <c r="D1254" s="52"/>
      <c r="E1254" s="52"/>
      <c r="F1254" s="71"/>
      <c r="G1254" s="52"/>
      <c r="H1254" s="52"/>
      <c r="I1254" s="52"/>
      <c r="J1254" s="52"/>
      <c r="K1254" s="52"/>
      <c r="L1254" s="52"/>
      <c r="M1254" s="52"/>
      <c r="N1254" s="52"/>
      <c r="O1254" s="52"/>
      <c r="P1254" s="52"/>
      <c r="Q1254" s="52"/>
      <c r="R1254" s="52"/>
      <c r="S1254" s="52"/>
      <c r="T1254" s="52"/>
      <c r="U1254" s="52"/>
      <c r="V1254" s="52"/>
      <c r="W1254" s="52"/>
      <c r="X1254" s="52"/>
      <c r="Y1254" s="52"/>
      <c r="Z1254" s="52"/>
    </row>
    <row r="1255" spans="1:26" ht="15.75" customHeight="1">
      <c r="A1255" s="52"/>
      <c r="B1255" s="52"/>
      <c r="C1255" s="52"/>
      <c r="D1255" s="52"/>
      <c r="E1255" s="52"/>
      <c r="F1255" s="71"/>
      <c r="G1255" s="52"/>
      <c r="H1255" s="52"/>
      <c r="I1255" s="52"/>
      <c r="J1255" s="52"/>
      <c r="K1255" s="52"/>
      <c r="L1255" s="52"/>
      <c r="M1255" s="52"/>
      <c r="N1255" s="52"/>
      <c r="O1255" s="52"/>
      <c r="P1255" s="52"/>
      <c r="Q1255" s="52"/>
      <c r="R1255" s="52"/>
      <c r="S1255" s="52"/>
      <c r="T1255" s="52"/>
      <c r="U1255" s="52"/>
      <c r="V1255" s="52"/>
      <c r="W1255" s="52"/>
      <c r="X1255" s="52"/>
      <c r="Y1255" s="52"/>
      <c r="Z1255" s="52"/>
    </row>
    <row r="1256" spans="1:26" ht="15.75" customHeight="1">
      <c r="A1256" s="52"/>
      <c r="B1256" s="52"/>
      <c r="C1256" s="52"/>
      <c r="D1256" s="52"/>
      <c r="E1256" s="52"/>
      <c r="F1256" s="71"/>
      <c r="G1256" s="52"/>
      <c r="H1256" s="52"/>
      <c r="I1256" s="52"/>
      <c r="J1256" s="52"/>
      <c r="K1256" s="52"/>
      <c r="L1256" s="52"/>
      <c r="M1256" s="52"/>
      <c r="N1256" s="52"/>
      <c r="O1256" s="52"/>
      <c r="P1256" s="52"/>
      <c r="Q1256" s="52"/>
      <c r="R1256" s="52"/>
      <c r="S1256" s="52"/>
      <c r="T1256" s="52"/>
      <c r="U1256" s="52"/>
      <c r="V1256" s="52"/>
      <c r="W1256" s="52"/>
      <c r="X1256" s="52"/>
      <c r="Y1256" s="52"/>
      <c r="Z1256" s="52"/>
    </row>
    <row r="1257" spans="1:26" ht="15.75" customHeight="1">
      <c r="A1257" s="52"/>
      <c r="B1257" s="52"/>
      <c r="C1257" s="52"/>
      <c r="D1257" s="52"/>
      <c r="E1257" s="52"/>
      <c r="F1257" s="71"/>
      <c r="G1257" s="52"/>
      <c r="H1257" s="52"/>
      <c r="I1257" s="52"/>
      <c r="J1257" s="52"/>
      <c r="K1257" s="52"/>
      <c r="L1257" s="52"/>
      <c r="M1257" s="52"/>
      <c r="N1257" s="52"/>
      <c r="O1257" s="52"/>
      <c r="P1257" s="52"/>
      <c r="Q1257" s="52"/>
      <c r="R1257" s="52"/>
      <c r="S1257" s="52"/>
      <c r="T1257" s="52"/>
      <c r="U1257" s="52"/>
      <c r="V1257" s="52"/>
      <c r="W1257" s="52"/>
      <c r="X1257" s="52"/>
      <c r="Y1257" s="52"/>
      <c r="Z1257" s="52"/>
    </row>
    <row r="1258" spans="1:26" ht="15.75" customHeight="1">
      <c r="A1258" s="52"/>
      <c r="B1258" s="52"/>
      <c r="C1258" s="52"/>
      <c r="D1258" s="52"/>
      <c r="E1258" s="52"/>
      <c r="F1258" s="71"/>
      <c r="G1258" s="52"/>
      <c r="H1258" s="52"/>
      <c r="I1258" s="52"/>
      <c r="J1258" s="52"/>
      <c r="K1258" s="52"/>
      <c r="L1258" s="52"/>
      <c r="M1258" s="52"/>
      <c r="N1258" s="52"/>
      <c r="O1258" s="52"/>
      <c r="P1258" s="52"/>
      <c r="Q1258" s="52"/>
      <c r="R1258" s="52"/>
      <c r="S1258" s="52"/>
      <c r="T1258" s="52"/>
      <c r="U1258" s="52"/>
      <c r="V1258" s="52"/>
      <c r="W1258" s="52"/>
      <c r="X1258" s="52"/>
      <c r="Y1258" s="52"/>
      <c r="Z1258" s="52"/>
    </row>
    <row r="1259" spans="1:26" ht="15.75" customHeight="1">
      <c r="A1259" s="52"/>
      <c r="B1259" s="52"/>
      <c r="C1259" s="52"/>
      <c r="D1259" s="52"/>
      <c r="E1259" s="52"/>
      <c r="F1259" s="71"/>
      <c r="G1259" s="52"/>
      <c r="H1259" s="52"/>
      <c r="I1259" s="52"/>
      <c r="J1259" s="52"/>
      <c r="K1259" s="52"/>
      <c r="L1259" s="52"/>
      <c r="M1259" s="52"/>
      <c r="N1259" s="52"/>
      <c r="O1259" s="52"/>
      <c r="P1259" s="52"/>
      <c r="Q1259" s="52"/>
      <c r="R1259" s="52"/>
      <c r="S1259" s="52"/>
      <c r="T1259" s="52"/>
      <c r="U1259" s="52"/>
      <c r="V1259" s="52"/>
      <c r="W1259" s="52"/>
      <c r="X1259" s="52"/>
      <c r="Y1259" s="52"/>
      <c r="Z1259" s="52"/>
    </row>
    <row r="1260" spans="1:26" ht="15.75" customHeight="1">
      <c r="A1260" s="52"/>
      <c r="B1260" s="52"/>
      <c r="C1260" s="52"/>
      <c r="D1260" s="52"/>
      <c r="E1260" s="52"/>
      <c r="F1260" s="71"/>
      <c r="G1260" s="52"/>
      <c r="H1260" s="52"/>
      <c r="I1260" s="52"/>
      <c r="J1260" s="52"/>
      <c r="K1260" s="52"/>
      <c r="L1260" s="52"/>
      <c r="M1260" s="52"/>
      <c r="N1260" s="52"/>
      <c r="O1260" s="52"/>
      <c r="P1260" s="52"/>
      <c r="Q1260" s="52"/>
      <c r="R1260" s="52"/>
      <c r="S1260" s="52"/>
      <c r="T1260" s="52"/>
      <c r="U1260" s="52"/>
      <c r="V1260" s="52"/>
      <c r="W1260" s="52"/>
      <c r="X1260" s="52"/>
      <c r="Y1260" s="52"/>
      <c r="Z1260" s="52"/>
    </row>
    <row r="1261" spans="1:26" ht="15.75" customHeight="1">
      <c r="A1261" s="52"/>
      <c r="B1261" s="52"/>
      <c r="C1261" s="52"/>
      <c r="D1261" s="52"/>
      <c r="E1261" s="52"/>
      <c r="F1261" s="71"/>
      <c r="G1261" s="52"/>
      <c r="H1261" s="52"/>
      <c r="I1261" s="52"/>
      <c r="J1261" s="52"/>
      <c r="K1261" s="52"/>
      <c r="L1261" s="52"/>
      <c r="M1261" s="52"/>
      <c r="N1261" s="52"/>
      <c r="O1261" s="52"/>
      <c r="P1261" s="52"/>
      <c r="Q1261" s="52"/>
      <c r="R1261" s="52"/>
      <c r="S1261" s="52"/>
      <c r="T1261" s="52"/>
      <c r="U1261" s="52"/>
      <c r="V1261" s="52"/>
      <c r="W1261" s="52"/>
      <c r="X1261" s="52"/>
      <c r="Y1261" s="52"/>
      <c r="Z1261" s="52"/>
    </row>
    <row r="1262" spans="1:26" ht="15.75" customHeight="1">
      <c r="A1262" s="52"/>
      <c r="B1262" s="52"/>
      <c r="C1262" s="52"/>
      <c r="D1262" s="52"/>
      <c r="E1262" s="52"/>
      <c r="F1262" s="71"/>
      <c r="G1262" s="52"/>
      <c r="H1262" s="52"/>
      <c r="I1262" s="52"/>
      <c r="J1262" s="52"/>
      <c r="K1262" s="52"/>
      <c r="L1262" s="52"/>
      <c r="M1262" s="52"/>
      <c r="N1262" s="52"/>
      <c r="O1262" s="52"/>
      <c r="P1262" s="52"/>
      <c r="Q1262" s="52"/>
      <c r="R1262" s="52"/>
      <c r="S1262" s="52"/>
      <c r="T1262" s="52"/>
      <c r="U1262" s="52"/>
      <c r="V1262" s="52"/>
      <c r="W1262" s="52"/>
      <c r="X1262" s="52"/>
      <c r="Y1262" s="52"/>
      <c r="Z1262" s="52"/>
    </row>
    <row r="1263" spans="1:26" ht="15.75" customHeight="1">
      <c r="A1263" s="52"/>
      <c r="B1263" s="52"/>
      <c r="C1263" s="52"/>
      <c r="D1263" s="52"/>
      <c r="E1263" s="52"/>
      <c r="F1263" s="71"/>
      <c r="G1263" s="52"/>
      <c r="H1263" s="52"/>
      <c r="I1263" s="52"/>
      <c r="J1263" s="52"/>
      <c r="K1263" s="52"/>
      <c r="L1263" s="52"/>
      <c r="M1263" s="52"/>
      <c r="N1263" s="52"/>
      <c r="O1263" s="52"/>
      <c r="P1263" s="52"/>
      <c r="Q1263" s="52"/>
      <c r="R1263" s="52"/>
      <c r="S1263" s="52"/>
      <c r="T1263" s="52"/>
      <c r="U1263" s="52"/>
      <c r="V1263" s="52"/>
      <c r="W1263" s="52"/>
      <c r="X1263" s="52"/>
      <c r="Y1263" s="52"/>
      <c r="Z1263" s="52"/>
    </row>
    <row r="1264" spans="1:26" ht="15.75" customHeight="1">
      <c r="A1264" s="52"/>
      <c r="B1264" s="52"/>
      <c r="C1264" s="52"/>
      <c r="D1264" s="52"/>
      <c r="E1264" s="52"/>
      <c r="F1264" s="71"/>
      <c r="G1264" s="52"/>
      <c r="H1264" s="52"/>
      <c r="I1264" s="52"/>
      <c r="J1264" s="52"/>
      <c r="K1264" s="52"/>
      <c r="L1264" s="52"/>
      <c r="M1264" s="52"/>
      <c r="N1264" s="52"/>
      <c r="O1264" s="52"/>
      <c r="P1264" s="52"/>
      <c r="Q1264" s="52"/>
      <c r="R1264" s="52"/>
      <c r="S1264" s="52"/>
      <c r="T1264" s="52"/>
      <c r="U1264" s="52"/>
      <c r="V1264" s="52"/>
      <c r="W1264" s="52"/>
      <c r="X1264" s="52"/>
      <c r="Y1264" s="52"/>
      <c r="Z1264" s="52"/>
    </row>
    <row r="1265" spans="1:26" ht="15.75" customHeight="1">
      <c r="A1265" s="52"/>
      <c r="B1265" s="52"/>
      <c r="C1265" s="52"/>
      <c r="D1265" s="52"/>
      <c r="E1265" s="52"/>
      <c r="F1265" s="71"/>
      <c r="G1265" s="52"/>
      <c r="H1265" s="52"/>
      <c r="I1265" s="52"/>
      <c r="J1265" s="52"/>
      <c r="K1265" s="52"/>
      <c r="L1265" s="52"/>
      <c r="M1265" s="52"/>
      <c r="N1265" s="52"/>
      <c r="O1265" s="52"/>
      <c r="P1265" s="52"/>
      <c r="Q1265" s="52"/>
      <c r="R1265" s="52"/>
      <c r="S1265" s="52"/>
      <c r="T1265" s="52"/>
      <c r="U1265" s="52"/>
      <c r="V1265" s="52"/>
      <c r="W1265" s="52"/>
      <c r="X1265" s="52"/>
      <c r="Y1265" s="52"/>
      <c r="Z1265" s="52"/>
    </row>
    <row r="1266" spans="1:26" ht="15.75" customHeight="1">
      <c r="A1266" s="52"/>
      <c r="B1266" s="52"/>
      <c r="C1266" s="52"/>
      <c r="D1266" s="52"/>
      <c r="E1266" s="52"/>
      <c r="F1266" s="71"/>
      <c r="G1266" s="52"/>
      <c r="H1266" s="52"/>
      <c r="I1266" s="52"/>
      <c r="J1266" s="52"/>
      <c r="K1266" s="52"/>
      <c r="L1266" s="52"/>
      <c r="M1266" s="52"/>
      <c r="N1266" s="52"/>
      <c r="O1266" s="52"/>
      <c r="P1266" s="52"/>
      <c r="Q1266" s="52"/>
      <c r="R1266" s="52"/>
      <c r="S1266" s="52"/>
      <c r="T1266" s="52"/>
      <c r="U1266" s="52"/>
      <c r="V1266" s="52"/>
      <c r="W1266" s="52"/>
      <c r="X1266" s="52"/>
      <c r="Y1266" s="52"/>
      <c r="Z1266" s="52"/>
    </row>
    <row r="1267" spans="1:26" ht="15.75" customHeight="1">
      <c r="A1267" s="52"/>
      <c r="B1267" s="52"/>
      <c r="C1267" s="52"/>
      <c r="D1267" s="52"/>
      <c r="E1267" s="52"/>
      <c r="F1267" s="71"/>
      <c r="G1267" s="52"/>
      <c r="H1267" s="52"/>
      <c r="I1267" s="52"/>
      <c r="J1267" s="52"/>
      <c r="K1267" s="52"/>
      <c r="L1267" s="52"/>
      <c r="M1267" s="52"/>
      <c r="N1267" s="52"/>
      <c r="O1267" s="52"/>
      <c r="P1267" s="52"/>
      <c r="Q1267" s="52"/>
      <c r="R1267" s="52"/>
      <c r="S1267" s="52"/>
      <c r="T1267" s="52"/>
      <c r="U1267" s="52"/>
      <c r="V1267" s="52"/>
      <c r="W1267" s="52"/>
      <c r="X1267" s="52"/>
      <c r="Y1267" s="52"/>
      <c r="Z1267" s="52"/>
    </row>
    <row r="1268" spans="1:26" ht="15.75" customHeight="1">
      <c r="A1268" s="52"/>
      <c r="B1268" s="52"/>
      <c r="C1268" s="52"/>
      <c r="D1268" s="52"/>
      <c r="E1268" s="52"/>
      <c r="F1268" s="71"/>
      <c r="G1268" s="52"/>
      <c r="H1268" s="52"/>
      <c r="I1268" s="52"/>
      <c r="J1268" s="52"/>
      <c r="K1268" s="52"/>
      <c r="L1268" s="52"/>
      <c r="M1268" s="52"/>
      <c r="N1268" s="52"/>
      <c r="O1268" s="52"/>
      <c r="P1268" s="52"/>
      <c r="Q1268" s="52"/>
      <c r="R1268" s="52"/>
      <c r="S1268" s="52"/>
      <c r="T1268" s="52"/>
      <c r="U1268" s="52"/>
      <c r="V1268" s="52"/>
      <c r="W1268" s="52"/>
      <c r="X1268" s="52"/>
      <c r="Y1268" s="52"/>
      <c r="Z1268" s="52"/>
    </row>
    <row r="1269" spans="1:26" ht="15.75" customHeight="1">
      <c r="A1269" s="52"/>
      <c r="B1269" s="52"/>
      <c r="C1269" s="52"/>
      <c r="D1269" s="52"/>
      <c r="E1269" s="52"/>
      <c r="F1269" s="71"/>
      <c r="G1269" s="52"/>
      <c r="H1269" s="52"/>
      <c r="I1269" s="52"/>
      <c r="J1269" s="52"/>
      <c r="K1269" s="52"/>
      <c r="L1269" s="52"/>
      <c r="M1269" s="52"/>
      <c r="N1269" s="52"/>
      <c r="O1269" s="52"/>
      <c r="P1269" s="52"/>
      <c r="Q1269" s="52"/>
      <c r="R1269" s="52"/>
      <c r="S1269" s="52"/>
      <c r="T1269" s="52"/>
      <c r="U1269" s="52"/>
      <c r="V1269" s="52"/>
      <c r="W1269" s="52"/>
      <c r="X1269" s="52"/>
      <c r="Y1269" s="52"/>
      <c r="Z1269" s="52"/>
    </row>
    <row r="1270" spans="1:26" ht="15.75" customHeight="1">
      <c r="A1270" s="52"/>
      <c r="B1270" s="52"/>
      <c r="C1270" s="52"/>
      <c r="D1270" s="52"/>
      <c r="E1270" s="52"/>
      <c r="F1270" s="71"/>
      <c r="G1270" s="52"/>
      <c r="H1270" s="52"/>
      <c r="I1270" s="52"/>
      <c r="J1270" s="52"/>
      <c r="K1270" s="52"/>
      <c r="L1270" s="52"/>
      <c r="M1270" s="52"/>
      <c r="N1270" s="52"/>
      <c r="O1270" s="52"/>
      <c r="P1270" s="52"/>
      <c r="Q1270" s="52"/>
      <c r="R1270" s="52"/>
      <c r="S1270" s="52"/>
      <c r="T1270" s="52"/>
      <c r="U1270" s="52"/>
      <c r="V1270" s="52"/>
      <c r="W1270" s="52"/>
      <c r="X1270" s="52"/>
      <c r="Y1270" s="52"/>
      <c r="Z1270" s="52"/>
    </row>
    <row r="1271" spans="1:26" ht="15.75" customHeight="1">
      <c r="A1271" s="52"/>
      <c r="B1271" s="52"/>
      <c r="C1271" s="52"/>
      <c r="D1271" s="52"/>
      <c r="E1271" s="52"/>
      <c r="F1271" s="71"/>
      <c r="G1271" s="52"/>
      <c r="H1271" s="52"/>
      <c r="I1271" s="52"/>
      <c r="J1271" s="52"/>
      <c r="K1271" s="52"/>
      <c r="L1271" s="52"/>
      <c r="M1271" s="52"/>
      <c r="N1271" s="52"/>
      <c r="O1271" s="52"/>
      <c r="P1271" s="52"/>
      <c r="Q1271" s="52"/>
      <c r="R1271" s="52"/>
      <c r="S1271" s="52"/>
      <c r="T1271" s="52"/>
      <c r="U1271" s="52"/>
      <c r="V1271" s="52"/>
      <c r="W1271" s="52"/>
      <c r="X1271" s="52"/>
      <c r="Y1271" s="52"/>
      <c r="Z1271" s="52"/>
    </row>
    <row r="1272" spans="1:26" ht="15.75" customHeight="1">
      <c r="A1272" s="52"/>
      <c r="B1272" s="52"/>
      <c r="C1272" s="52"/>
      <c r="D1272" s="52"/>
      <c r="E1272" s="52"/>
      <c r="F1272" s="71"/>
      <c r="G1272" s="52"/>
      <c r="H1272" s="52"/>
      <c r="I1272" s="52"/>
      <c r="J1272" s="52"/>
      <c r="K1272" s="52"/>
      <c r="L1272" s="52"/>
      <c r="M1272" s="52"/>
      <c r="N1272" s="52"/>
      <c r="O1272" s="52"/>
      <c r="P1272" s="52"/>
      <c r="Q1272" s="52"/>
      <c r="R1272" s="52"/>
      <c r="S1272" s="52"/>
      <c r="T1272" s="52"/>
      <c r="U1272" s="52"/>
      <c r="V1272" s="52"/>
      <c r="W1272" s="52"/>
      <c r="X1272" s="52"/>
      <c r="Y1272" s="52"/>
      <c r="Z1272" s="52"/>
    </row>
    <row r="1273" spans="1:26" ht="15.75" customHeight="1">
      <c r="A1273" s="52"/>
      <c r="B1273" s="52"/>
      <c r="C1273" s="52"/>
      <c r="D1273" s="52"/>
      <c r="E1273" s="52"/>
      <c r="F1273" s="71"/>
      <c r="G1273" s="52"/>
      <c r="H1273" s="52"/>
      <c r="I1273" s="52"/>
      <c r="J1273" s="52"/>
      <c r="K1273" s="52"/>
      <c r="L1273" s="52"/>
      <c r="M1273" s="52"/>
      <c r="N1273" s="52"/>
      <c r="O1273" s="52"/>
      <c r="P1273" s="52"/>
      <c r="Q1273" s="52"/>
      <c r="R1273" s="52"/>
      <c r="S1273" s="52"/>
      <c r="T1273" s="52"/>
      <c r="U1273" s="52"/>
      <c r="V1273" s="52"/>
      <c r="W1273" s="52"/>
      <c r="X1273" s="52"/>
      <c r="Y1273" s="52"/>
      <c r="Z1273" s="52"/>
    </row>
    <row r="1274" spans="1:26" ht="15.75" customHeight="1">
      <c r="A1274" s="52"/>
      <c r="B1274" s="52"/>
      <c r="C1274" s="52"/>
      <c r="D1274" s="52"/>
      <c r="E1274" s="52"/>
      <c r="F1274" s="71"/>
      <c r="G1274" s="52"/>
      <c r="H1274" s="52"/>
      <c r="I1274" s="52"/>
      <c r="J1274" s="52"/>
      <c r="K1274" s="52"/>
      <c r="L1274" s="52"/>
      <c r="M1274" s="52"/>
      <c r="N1274" s="52"/>
      <c r="O1274" s="52"/>
      <c r="P1274" s="52"/>
      <c r="Q1274" s="52"/>
      <c r="R1274" s="52"/>
      <c r="S1274" s="52"/>
      <c r="T1274" s="52"/>
      <c r="U1274" s="52"/>
      <c r="V1274" s="52"/>
      <c r="W1274" s="52"/>
      <c r="X1274" s="52"/>
      <c r="Y1274" s="52"/>
      <c r="Z1274" s="52"/>
    </row>
    <row r="1275" spans="1:26" ht="15.75" customHeight="1">
      <c r="A1275" s="52"/>
      <c r="B1275" s="52"/>
      <c r="C1275" s="52"/>
      <c r="D1275" s="52"/>
      <c r="E1275" s="52"/>
      <c r="F1275" s="71"/>
      <c r="G1275" s="52"/>
      <c r="H1275" s="52"/>
      <c r="I1275" s="52"/>
      <c r="J1275" s="52"/>
      <c r="K1275" s="52"/>
      <c r="L1275" s="52"/>
      <c r="M1275" s="52"/>
      <c r="N1275" s="52"/>
      <c r="O1275" s="52"/>
      <c r="P1275" s="52"/>
      <c r="Q1275" s="52"/>
      <c r="R1275" s="52"/>
      <c r="S1275" s="52"/>
      <c r="T1275" s="52"/>
      <c r="U1275" s="52"/>
      <c r="V1275" s="52"/>
      <c r="W1275" s="52"/>
      <c r="X1275" s="52"/>
      <c r="Y1275" s="52"/>
      <c r="Z1275" s="52"/>
    </row>
    <row r="1276" spans="1:26" ht="15.75" customHeight="1">
      <c r="A1276" s="52"/>
      <c r="B1276" s="52"/>
      <c r="C1276" s="52"/>
      <c r="D1276" s="52"/>
      <c r="E1276" s="52"/>
      <c r="F1276" s="71"/>
      <c r="G1276" s="52"/>
      <c r="H1276" s="52"/>
      <c r="I1276" s="52"/>
      <c r="J1276" s="52"/>
      <c r="K1276" s="52"/>
      <c r="L1276" s="52"/>
      <c r="M1276" s="52"/>
      <c r="N1276" s="52"/>
      <c r="O1276" s="52"/>
      <c r="P1276" s="52"/>
      <c r="Q1276" s="52"/>
      <c r="R1276" s="52"/>
      <c r="S1276" s="52"/>
      <c r="T1276" s="52"/>
      <c r="U1276" s="52"/>
      <c r="V1276" s="52"/>
      <c r="W1276" s="52"/>
      <c r="X1276" s="52"/>
      <c r="Y1276" s="52"/>
      <c r="Z1276" s="52"/>
    </row>
    <row r="1277" spans="1:26" ht="15.75" customHeight="1">
      <c r="A1277" s="52"/>
      <c r="B1277" s="52"/>
      <c r="C1277" s="52"/>
      <c r="D1277" s="52"/>
      <c r="E1277" s="52"/>
      <c r="F1277" s="71"/>
      <c r="G1277" s="52"/>
      <c r="H1277" s="52"/>
      <c r="I1277" s="52"/>
      <c r="J1277" s="52"/>
      <c r="K1277" s="52"/>
      <c r="L1277" s="52"/>
      <c r="M1277" s="52"/>
      <c r="N1277" s="52"/>
      <c r="O1277" s="52"/>
      <c r="P1277" s="52"/>
      <c r="Q1277" s="52"/>
      <c r="R1277" s="52"/>
      <c r="S1277" s="52"/>
      <c r="T1277" s="52"/>
      <c r="U1277" s="52"/>
      <c r="V1277" s="52"/>
      <c r="W1277" s="52"/>
      <c r="X1277" s="52"/>
      <c r="Y1277" s="52"/>
      <c r="Z1277" s="52"/>
    </row>
    <row r="1278" spans="1:26" ht="15.75" customHeight="1">
      <c r="A1278" s="52"/>
      <c r="B1278" s="52"/>
      <c r="C1278" s="52"/>
      <c r="D1278" s="52"/>
      <c r="E1278" s="52"/>
      <c r="F1278" s="71"/>
      <c r="G1278" s="52"/>
      <c r="H1278" s="52"/>
      <c r="I1278" s="52"/>
      <c r="J1278" s="52"/>
      <c r="K1278" s="52"/>
      <c r="L1278" s="52"/>
      <c r="M1278" s="52"/>
      <c r="N1278" s="52"/>
      <c r="O1278" s="52"/>
      <c r="P1278" s="52"/>
      <c r="Q1278" s="52"/>
      <c r="R1278" s="52"/>
      <c r="S1278" s="52"/>
      <c r="T1278" s="52"/>
      <c r="U1278" s="52"/>
      <c r="V1278" s="52"/>
      <c r="W1278" s="52"/>
      <c r="X1278" s="52"/>
      <c r="Y1278" s="52"/>
      <c r="Z1278" s="52"/>
    </row>
    <row r="1279" spans="1:26" ht="15.75" customHeight="1">
      <c r="A1279" s="52"/>
      <c r="B1279" s="52"/>
      <c r="C1279" s="52"/>
      <c r="D1279" s="52"/>
      <c r="E1279" s="52"/>
      <c r="F1279" s="71"/>
      <c r="G1279" s="52"/>
      <c r="H1279" s="52"/>
      <c r="I1279" s="52"/>
      <c r="J1279" s="52"/>
      <c r="K1279" s="52"/>
      <c r="L1279" s="52"/>
      <c r="M1279" s="52"/>
      <c r="N1279" s="52"/>
      <c r="O1279" s="52"/>
      <c r="P1279" s="52"/>
      <c r="Q1279" s="52"/>
      <c r="R1279" s="52"/>
      <c r="S1279" s="52"/>
      <c r="T1279" s="52"/>
      <c r="U1279" s="52"/>
      <c r="V1279" s="52"/>
      <c r="W1279" s="52"/>
      <c r="X1279" s="52"/>
      <c r="Y1279" s="52"/>
      <c r="Z1279" s="52"/>
    </row>
    <row r="1280" spans="1:26" ht="15.75" customHeight="1">
      <c r="A1280" s="52"/>
      <c r="B1280" s="52"/>
      <c r="C1280" s="52"/>
      <c r="D1280" s="52"/>
      <c r="E1280" s="52"/>
      <c r="F1280" s="71"/>
      <c r="G1280" s="52"/>
      <c r="H1280" s="52"/>
      <c r="I1280" s="52"/>
      <c r="J1280" s="52"/>
      <c r="K1280" s="52"/>
      <c r="L1280" s="52"/>
      <c r="M1280" s="52"/>
      <c r="N1280" s="52"/>
      <c r="O1280" s="52"/>
      <c r="P1280" s="52"/>
      <c r="Q1280" s="52"/>
      <c r="R1280" s="52"/>
      <c r="S1280" s="52"/>
      <c r="T1280" s="52"/>
      <c r="U1280" s="52"/>
      <c r="V1280" s="52"/>
      <c r="W1280" s="52"/>
      <c r="X1280" s="52"/>
      <c r="Y1280" s="52"/>
      <c r="Z1280" s="52"/>
    </row>
    <row r="1281" spans="1:26" ht="15.75" customHeight="1">
      <c r="A1281" s="52"/>
      <c r="B1281" s="52"/>
      <c r="C1281" s="52"/>
      <c r="D1281" s="52"/>
      <c r="E1281" s="52"/>
      <c r="F1281" s="71"/>
      <c r="G1281" s="52"/>
      <c r="H1281" s="52"/>
      <c r="I1281" s="52"/>
      <c r="J1281" s="52"/>
      <c r="K1281" s="52"/>
      <c r="L1281" s="52"/>
      <c r="M1281" s="52"/>
      <c r="N1281" s="52"/>
      <c r="O1281" s="52"/>
      <c r="P1281" s="52"/>
      <c r="Q1281" s="52"/>
      <c r="R1281" s="52"/>
      <c r="S1281" s="52"/>
      <c r="T1281" s="52"/>
      <c r="U1281" s="52"/>
      <c r="V1281" s="52"/>
      <c r="W1281" s="52"/>
      <c r="X1281" s="52"/>
      <c r="Y1281" s="52"/>
      <c r="Z1281" s="52"/>
    </row>
    <row r="1282" spans="1:26" ht="15.75" customHeight="1">
      <c r="A1282" s="52"/>
      <c r="B1282" s="52"/>
      <c r="C1282" s="52"/>
      <c r="D1282" s="52"/>
      <c r="E1282" s="52"/>
      <c r="F1282" s="71"/>
      <c r="G1282" s="52"/>
      <c r="H1282" s="52"/>
      <c r="I1282" s="52"/>
      <c r="J1282" s="52"/>
      <c r="K1282" s="52"/>
      <c r="L1282" s="52"/>
      <c r="M1282" s="52"/>
      <c r="N1282" s="52"/>
      <c r="O1282" s="52"/>
      <c r="P1282" s="52"/>
      <c r="Q1282" s="52"/>
      <c r="R1282" s="52"/>
      <c r="S1282" s="52"/>
      <c r="T1282" s="52"/>
      <c r="U1282" s="52"/>
      <c r="V1282" s="52"/>
      <c r="W1282" s="52"/>
      <c r="X1282" s="52"/>
      <c r="Y1282" s="52"/>
      <c r="Z1282" s="52"/>
    </row>
    <row r="1283" spans="1:26" ht="15.75" customHeight="1">
      <c r="A1283" s="52"/>
      <c r="B1283" s="52"/>
      <c r="C1283" s="52"/>
      <c r="D1283" s="52"/>
      <c r="E1283" s="52"/>
      <c r="F1283" s="71"/>
      <c r="G1283" s="52"/>
      <c r="H1283" s="52"/>
      <c r="I1283" s="52"/>
      <c r="J1283" s="52"/>
      <c r="K1283" s="52"/>
      <c r="L1283" s="52"/>
      <c r="M1283" s="52"/>
      <c r="N1283" s="52"/>
      <c r="O1283" s="52"/>
      <c r="P1283" s="52"/>
      <c r="Q1283" s="52"/>
      <c r="R1283" s="52"/>
      <c r="S1283" s="52"/>
      <c r="T1283" s="52"/>
      <c r="U1283" s="52"/>
      <c r="V1283" s="52"/>
      <c r="W1283" s="52"/>
      <c r="X1283" s="52"/>
      <c r="Y1283" s="52"/>
      <c r="Z1283" s="52"/>
    </row>
    <row r="1284" spans="1:26" ht="15.75" customHeight="1">
      <c r="A1284" s="52"/>
      <c r="B1284" s="52"/>
      <c r="C1284" s="52"/>
      <c r="D1284" s="52"/>
      <c r="E1284" s="52"/>
      <c r="F1284" s="71"/>
      <c r="G1284" s="52"/>
      <c r="H1284" s="52"/>
      <c r="I1284" s="52"/>
      <c r="J1284" s="52"/>
      <c r="K1284" s="52"/>
      <c r="L1284" s="52"/>
      <c r="M1284" s="52"/>
      <c r="N1284" s="52"/>
      <c r="O1284" s="52"/>
      <c r="P1284" s="52"/>
      <c r="Q1284" s="52"/>
      <c r="R1284" s="52"/>
      <c r="S1284" s="52"/>
      <c r="T1284" s="52"/>
      <c r="U1284" s="52"/>
      <c r="V1284" s="52"/>
      <c r="W1284" s="52"/>
      <c r="X1284" s="52"/>
      <c r="Y1284" s="52"/>
      <c r="Z1284" s="52"/>
    </row>
    <row r="1285" spans="1:26" ht="15.75" customHeight="1">
      <c r="A1285" s="52"/>
      <c r="B1285" s="52"/>
      <c r="C1285" s="52"/>
      <c r="D1285" s="52"/>
      <c r="E1285" s="52"/>
      <c r="F1285" s="71"/>
      <c r="G1285" s="52"/>
      <c r="H1285" s="52"/>
      <c r="I1285" s="52"/>
      <c r="J1285" s="52"/>
      <c r="K1285" s="52"/>
      <c r="L1285" s="52"/>
      <c r="M1285" s="52"/>
      <c r="N1285" s="52"/>
      <c r="O1285" s="52"/>
      <c r="P1285" s="52"/>
      <c r="Q1285" s="52"/>
      <c r="R1285" s="52"/>
      <c r="S1285" s="52"/>
      <c r="T1285" s="52"/>
      <c r="U1285" s="52"/>
      <c r="V1285" s="52"/>
      <c r="W1285" s="52"/>
      <c r="X1285" s="52"/>
      <c r="Y1285" s="52"/>
      <c r="Z1285" s="52"/>
    </row>
    <row r="1286" spans="1:26" ht="15.75" customHeight="1">
      <c r="A1286" s="52"/>
      <c r="B1286" s="52"/>
      <c r="C1286" s="52"/>
      <c r="D1286" s="52"/>
      <c r="E1286" s="52"/>
      <c r="F1286" s="71"/>
      <c r="G1286" s="52"/>
      <c r="H1286" s="52"/>
      <c r="I1286" s="52"/>
      <c r="J1286" s="52"/>
      <c r="K1286" s="52"/>
      <c r="L1286" s="52"/>
      <c r="M1286" s="52"/>
      <c r="N1286" s="52"/>
      <c r="O1286" s="52"/>
      <c r="P1286" s="52"/>
      <c r="Q1286" s="52"/>
      <c r="R1286" s="52"/>
      <c r="S1286" s="52"/>
      <c r="T1286" s="52"/>
      <c r="U1286" s="52"/>
      <c r="V1286" s="52"/>
      <c r="W1286" s="52"/>
      <c r="X1286" s="52"/>
      <c r="Y1286" s="52"/>
      <c r="Z1286" s="52"/>
    </row>
    <row r="1287" spans="1:26" ht="15.75" customHeight="1">
      <c r="A1287" s="52"/>
      <c r="B1287" s="52"/>
      <c r="C1287" s="52"/>
      <c r="D1287" s="52"/>
      <c r="E1287" s="52"/>
      <c r="F1287" s="71"/>
      <c r="G1287" s="52"/>
      <c r="H1287" s="52"/>
      <c r="I1287" s="52"/>
      <c r="J1287" s="52"/>
      <c r="K1287" s="52"/>
      <c r="L1287" s="52"/>
      <c r="M1287" s="52"/>
      <c r="N1287" s="52"/>
      <c r="O1287" s="52"/>
      <c r="P1287" s="52"/>
      <c r="Q1287" s="52"/>
      <c r="R1287" s="52"/>
      <c r="S1287" s="52"/>
      <c r="T1287" s="52"/>
      <c r="U1287" s="52"/>
      <c r="V1287" s="52"/>
      <c r="W1287" s="52"/>
      <c r="X1287" s="52"/>
      <c r="Y1287" s="52"/>
      <c r="Z1287" s="52"/>
    </row>
    <row r="1288" spans="1:26" ht="15.75" customHeight="1">
      <c r="A1288" s="52"/>
      <c r="B1288" s="52"/>
      <c r="C1288" s="52"/>
      <c r="D1288" s="52"/>
      <c r="E1288" s="52"/>
      <c r="F1288" s="71"/>
      <c r="G1288" s="52"/>
      <c r="H1288" s="52"/>
      <c r="I1288" s="52"/>
      <c r="J1288" s="52"/>
      <c r="K1288" s="52"/>
      <c r="L1288" s="52"/>
      <c r="M1288" s="52"/>
      <c r="N1288" s="52"/>
      <c r="O1288" s="52"/>
      <c r="P1288" s="52"/>
      <c r="Q1288" s="52"/>
      <c r="R1288" s="52"/>
      <c r="S1288" s="52"/>
      <c r="T1288" s="52"/>
      <c r="U1288" s="52"/>
      <c r="V1288" s="52"/>
      <c r="W1288" s="52"/>
      <c r="X1288" s="52"/>
      <c r="Y1288" s="52"/>
      <c r="Z1288" s="52"/>
    </row>
    <row r="1289" spans="1:26" ht="15.75" customHeight="1">
      <c r="A1289" s="52"/>
      <c r="B1289" s="52"/>
      <c r="C1289" s="52"/>
      <c r="D1289" s="52"/>
      <c r="E1289" s="52"/>
      <c r="F1289" s="71"/>
      <c r="G1289" s="52"/>
      <c r="H1289" s="52"/>
      <c r="I1289" s="52"/>
      <c r="J1289" s="52"/>
      <c r="K1289" s="52"/>
      <c r="L1289" s="52"/>
      <c r="M1289" s="52"/>
      <c r="N1289" s="52"/>
      <c r="O1289" s="52"/>
      <c r="P1289" s="52"/>
      <c r="Q1289" s="52"/>
      <c r="R1289" s="52"/>
      <c r="S1289" s="52"/>
      <c r="T1289" s="52"/>
      <c r="U1289" s="52"/>
      <c r="V1289" s="52"/>
      <c r="W1289" s="52"/>
      <c r="X1289" s="52"/>
      <c r="Y1289" s="52"/>
      <c r="Z1289" s="52"/>
    </row>
    <row r="1290" spans="1:26" ht="15.75" customHeight="1">
      <c r="A1290" s="52"/>
      <c r="B1290" s="52"/>
      <c r="C1290" s="52"/>
      <c r="D1290" s="52"/>
      <c r="E1290" s="52"/>
      <c r="F1290" s="71"/>
      <c r="G1290" s="52"/>
      <c r="H1290" s="52"/>
      <c r="I1290" s="52"/>
      <c r="J1290" s="52"/>
      <c r="K1290" s="52"/>
      <c r="L1290" s="52"/>
      <c r="M1290" s="52"/>
      <c r="N1290" s="52"/>
      <c r="O1290" s="52"/>
      <c r="P1290" s="52"/>
      <c r="Q1290" s="52"/>
      <c r="R1290" s="52"/>
      <c r="S1290" s="52"/>
      <c r="T1290" s="52"/>
      <c r="U1290" s="52"/>
      <c r="V1290" s="52"/>
      <c r="W1290" s="52"/>
      <c r="X1290" s="52"/>
      <c r="Y1290" s="52"/>
      <c r="Z1290" s="52"/>
    </row>
    <row r="1291" spans="1:26" ht="15.75" customHeight="1">
      <c r="A1291" s="52"/>
      <c r="B1291" s="52"/>
      <c r="C1291" s="52"/>
      <c r="D1291" s="52"/>
      <c r="E1291" s="52"/>
      <c r="F1291" s="71"/>
      <c r="G1291" s="52"/>
      <c r="H1291" s="52"/>
      <c r="I1291" s="52"/>
      <c r="J1291" s="52"/>
      <c r="K1291" s="52"/>
      <c r="L1291" s="52"/>
      <c r="M1291" s="52"/>
      <c r="N1291" s="52"/>
      <c r="O1291" s="52"/>
      <c r="P1291" s="52"/>
      <c r="Q1291" s="52"/>
      <c r="R1291" s="52"/>
      <c r="S1291" s="52"/>
      <c r="T1291" s="52"/>
      <c r="U1291" s="52"/>
      <c r="V1291" s="52"/>
      <c r="W1291" s="52"/>
      <c r="X1291" s="52"/>
      <c r="Y1291" s="52"/>
      <c r="Z1291" s="52"/>
    </row>
    <row r="1292" spans="1:26" ht="15.75" customHeight="1">
      <c r="A1292" s="52"/>
      <c r="B1292" s="52"/>
      <c r="C1292" s="52"/>
      <c r="D1292" s="52"/>
      <c r="E1292" s="52"/>
      <c r="F1292" s="71"/>
      <c r="G1292" s="52"/>
      <c r="H1292" s="52"/>
      <c r="I1292" s="52"/>
      <c r="J1292" s="52"/>
      <c r="K1292" s="52"/>
      <c r="L1292" s="52"/>
      <c r="M1292" s="52"/>
      <c r="N1292" s="52"/>
      <c r="O1292" s="52"/>
      <c r="P1292" s="52"/>
      <c r="Q1292" s="52"/>
      <c r="R1292" s="52"/>
      <c r="S1292" s="52"/>
      <c r="T1292" s="52"/>
      <c r="U1292" s="52"/>
      <c r="V1292" s="52"/>
      <c r="W1292" s="52"/>
      <c r="X1292" s="52"/>
      <c r="Y1292" s="52"/>
      <c r="Z1292" s="52"/>
    </row>
    <row r="1293" spans="1:26" ht="15.75" customHeight="1">
      <c r="A1293" s="52"/>
      <c r="B1293" s="52"/>
      <c r="C1293" s="52"/>
      <c r="D1293" s="52"/>
      <c r="E1293" s="52"/>
      <c r="F1293" s="71"/>
      <c r="G1293" s="52"/>
      <c r="H1293" s="52"/>
      <c r="I1293" s="52"/>
      <c r="J1293" s="52"/>
      <c r="K1293" s="52"/>
      <c r="L1293" s="52"/>
      <c r="M1293" s="52"/>
      <c r="N1293" s="52"/>
      <c r="O1293" s="52"/>
      <c r="P1293" s="52"/>
      <c r="Q1293" s="52"/>
      <c r="R1293" s="52"/>
      <c r="S1293" s="52"/>
      <c r="T1293" s="52"/>
      <c r="U1293" s="52"/>
      <c r="V1293" s="52"/>
      <c r="W1293" s="52"/>
      <c r="X1293" s="52"/>
      <c r="Y1293" s="52"/>
      <c r="Z1293" s="52"/>
    </row>
    <row r="1294" spans="1:26" ht="15.75" customHeight="1">
      <c r="A1294" s="52"/>
      <c r="B1294" s="52"/>
      <c r="C1294" s="52"/>
      <c r="D1294" s="52"/>
      <c r="E1294" s="52"/>
      <c r="F1294" s="71"/>
      <c r="G1294" s="52"/>
      <c r="H1294" s="52"/>
      <c r="I1294" s="52"/>
      <c r="J1294" s="52"/>
      <c r="K1294" s="52"/>
      <c r="L1294" s="52"/>
      <c r="M1294" s="52"/>
      <c r="N1294" s="52"/>
      <c r="O1294" s="52"/>
      <c r="P1294" s="52"/>
      <c r="Q1294" s="52"/>
      <c r="R1294" s="52"/>
      <c r="S1294" s="52"/>
      <c r="T1294" s="52"/>
      <c r="U1294" s="52"/>
      <c r="V1294" s="52"/>
      <c r="W1294" s="52"/>
      <c r="X1294" s="52"/>
      <c r="Y1294" s="52"/>
      <c r="Z1294" s="52"/>
    </row>
    <row r="1295" spans="1:26" ht="15.75" customHeight="1">
      <c r="A1295" s="52"/>
      <c r="B1295" s="52"/>
      <c r="C1295" s="52"/>
      <c r="D1295" s="52"/>
      <c r="E1295" s="52"/>
      <c r="F1295" s="71"/>
      <c r="G1295" s="52"/>
      <c r="H1295" s="52"/>
      <c r="I1295" s="52"/>
      <c r="J1295" s="52"/>
      <c r="K1295" s="52"/>
      <c r="L1295" s="52"/>
      <c r="M1295" s="52"/>
      <c r="N1295" s="52"/>
      <c r="O1295" s="52"/>
      <c r="P1295" s="52"/>
      <c r="Q1295" s="52"/>
      <c r="R1295" s="52"/>
      <c r="S1295" s="52"/>
      <c r="T1295" s="52"/>
      <c r="U1295" s="52"/>
      <c r="V1295" s="52"/>
      <c r="W1295" s="52"/>
      <c r="X1295" s="52"/>
      <c r="Y1295" s="52"/>
      <c r="Z1295" s="52"/>
    </row>
    <row r="1296" spans="1:26" ht="15.75" customHeight="1">
      <c r="A1296" s="52"/>
      <c r="B1296" s="52"/>
      <c r="C1296" s="52"/>
      <c r="D1296" s="52"/>
      <c r="E1296" s="52"/>
      <c r="F1296" s="71"/>
      <c r="G1296" s="52"/>
      <c r="H1296" s="52"/>
      <c r="I1296" s="52"/>
      <c r="J1296" s="52"/>
      <c r="K1296" s="52"/>
      <c r="L1296" s="52"/>
      <c r="M1296" s="52"/>
      <c r="N1296" s="52"/>
      <c r="O1296" s="52"/>
      <c r="P1296" s="52"/>
      <c r="Q1296" s="52"/>
      <c r="R1296" s="52"/>
      <c r="S1296" s="52"/>
      <c r="T1296" s="52"/>
      <c r="U1296" s="52"/>
      <c r="V1296" s="52"/>
      <c r="W1296" s="52"/>
      <c r="X1296" s="52"/>
      <c r="Y1296" s="52"/>
      <c r="Z1296" s="52"/>
    </row>
    <row r="1297" spans="1:26" ht="15.75" customHeight="1">
      <c r="A1297" s="52"/>
      <c r="B1297" s="52"/>
      <c r="C1297" s="52"/>
      <c r="D1297" s="52"/>
      <c r="E1297" s="52"/>
      <c r="F1297" s="71"/>
      <c r="G1297" s="52"/>
      <c r="H1297" s="52"/>
      <c r="I1297" s="52"/>
      <c r="J1297" s="52"/>
      <c r="K1297" s="52"/>
      <c r="L1297" s="52"/>
      <c r="M1297" s="52"/>
      <c r="N1297" s="52"/>
      <c r="O1297" s="52"/>
      <c r="P1297" s="52"/>
      <c r="Q1297" s="52"/>
      <c r="R1297" s="52"/>
      <c r="S1297" s="52"/>
      <c r="T1297" s="52"/>
      <c r="U1297" s="52"/>
      <c r="V1297" s="52"/>
      <c r="W1297" s="52"/>
      <c r="X1297" s="52"/>
      <c r="Y1297" s="52"/>
      <c r="Z1297" s="52"/>
    </row>
    <row r="1298" spans="1:26" ht="15.75" customHeight="1">
      <c r="A1298" s="52"/>
      <c r="B1298" s="52"/>
      <c r="C1298" s="52"/>
      <c r="D1298" s="52"/>
      <c r="E1298" s="52"/>
      <c r="F1298" s="71"/>
      <c r="G1298" s="52"/>
      <c r="H1298" s="52"/>
      <c r="I1298" s="52"/>
      <c r="J1298" s="52"/>
      <c r="K1298" s="52"/>
      <c r="L1298" s="52"/>
      <c r="M1298" s="52"/>
      <c r="N1298" s="52"/>
      <c r="O1298" s="52"/>
      <c r="P1298" s="52"/>
      <c r="Q1298" s="52"/>
      <c r="R1298" s="52"/>
      <c r="S1298" s="52"/>
      <c r="T1298" s="52"/>
      <c r="U1298" s="52"/>
      <c r="V1298" s="52"/>
      <c r="W1298" s="52"/>
      <c r="X1298" s="52"/>
      <c r="Y1298" s="52"/>
      <c r="Z1298" s="52"/>
    </row>
    <row r="1299" spans="1:26" ht="15.75" customHeight="1">
      <c r="A1299" s="52"/>
      <c r="B1299" s="52"/>
      <c r="C1299" s="52"/>
      <c r="D1299" s="52"/>
      <c r="E1299" s="52"/>
      <c r="F1299" s="71"/>
      <c r="G1299" s="52"/>
      <c r="H1299" s="52"/>
      <c r="I1299" s="52"/>
      <c r="J1299" s="52"/>
      <c r="K1299" s="52"/>
      <c r="L1299" s="52"/>
      <c r="M1299" s="52"/>
      <c r="N1299" s="52"/>
      <c r="O1299" s="52"/>
      <c r="P1299" s="52"/>
      <c r="Q1299" s="52"/>
      <c r="R1299" s="52"/>
      <c r="S1299" s="52"/>
      <c r="T1299" s="52"/>
      <c r="U1299" s="52"/>
      <c r="V1299" s="52"/>
      <c r="W1299" s="52"/>
      <c r="X1299" s="52"/>
      <c r="Y1299" s="52"/>
      <c r="Z1299" s="52"/>
    </row>
    <row r="1300" spans="1:26" ht="15.75" customHeight="1">
      <c r="A1300" s="52"/>
      <c r="B1300" s="52"/>
      <c r="C1300" s="52"/>
      <c r="D1300" s="52"/>
      <c r="E1300" s="52"/>
      <c r="F1300" s="71"/>
      <c r="G1300" s="52"/>
      <c r="H1300" s="52"/>
      <c r="I1300" s="52"/>
      <c r="J1300" s="52"/>
      <c r="K1300" s="52"/>
      <c r="L1300" s="52"/>
      <c r="M1300" s="52"/>
      <c r="N1300" s="52"/>
      <c r="O1300" s="52"/>
      <c r="P1300" s="52"/>
      <c r="Q1300" s="52"/>
      <c r="R1300" s="52"/>
      <c r="S1300" s="52"/>
      <c r="T1300" s="52"/>
      <c r="U1300" s="52"/>
      <c r="V1300" s="52"/>
      <c r="W1300" s="52"/>
      <c r="X1300" s="52"/>
      <c r="Y1300" s="52"/>
      <c r="Z1300" s="52"/>
    </row>
    <row r="1301" spans="1:26" ht="15.75" customHeight="1">
      <c r="A1301" s="52"/>
      <c r="B1301" s="52"/>
      <c r="C1301" s="52"/>
      <c r="D1301" s="52"/>
      <c r="E1301" s="52"/>
      <c r="F1301" s="71"/>
      <c r="G1301" s="52"/>
      <c r="H1301" s="52"/>
      <c r="I1301" s="52"/>
      <c r="J1301" s="52"/>
      <c r="K1301" s="52"/>
      <c r="L1301" s="52"/>
      <c r="M1301" s="52"/>
      <c r="N1301" s="52"/>
      <c r="O1301" s="52"/>
      <c r="P1301" s="52"/>
      <c r="Q1301" s="52"/>
      <c r="R1301" s="52"/>
      <c r="S1301" s="52"/>
      <c r="T1301" s="52"/>
      <c r="U1301" s="52"/>
      <c r="V1301" s="52"/>
      <c r="W1301" s="52"/>
      <c r="X1301" s="52"/>
      <c r="Y1301" s="52"/>
      <c r="Z1301" s="52"/>
    </row>
    <row r="1302" spans="1:26" ht="15.75" customHeight="1">
      <c r="A1302" s="52"/>
      <c r="B1302" s="52"/>
      <c r="C1302" s="52"/>
      <c r="D1302" s="52"/>
      <c r="E1302" s="52"/>
      <c r="F1302" s="71"/>
      <c r="G1302" s="52"/>
      <c r="H1302" s="52"/>
      <c r="I1302" s="52"/>
      <c r="J1302" s="52"/>
      <c r="K1302" s="52"/>
      <c r="L1302" s="52"/>
      <c r="M1302" s="52"/>
      <c r="N1302" s="52"/>
      <c r="O1302" s="52"/>
      <c r="P1302" s="52"/>
      <c r="Q1302" s="52"/>
      <c r="R1302" s="52"/>
      <c r="S1302" s="52"/>
      <c r="T1302" s="52"/>
      <c r="U1302" s="52"/>
      <c r="V1302" s="52"/>
      <c r="W1302" s="52"/>
      <c r="X1302" s="52"/>
      <c r="Y1302" s="52"/>
      <c r="Z1302" s="52"/>
    </row>
    <row r="1303" spans="1:26" ht="15.75" customHeight="1">
      <c r="A1303" s="52"/>
      <c r="B1303" s="52"/>
      <c r="C1303" s="52"/>
      <c r="D1303" s="52"/>
      <c r="E1303" s="52"/>
      <c r="F1303" s="71"/>
      <c r="G1303" s="52"/>
      <c r="H1303" s="52"/>
      <c r="I1303" s="52"/>
      <c r="J1303" s="52"/>
      <c r="K1303" s="52"/>
      <c r="L1303" s="52"/>
      <c r="M1303" s="52"/>
      <c r="N1303" s="52"/>
      <c r="O1303" s="52"/>
      <c r="P1303" s="52"/>
      <c r="Q1303" s="52"/>
      <c r="R1303" s="52"/>
      <c r="S1303" s="52"/>
      <c r="T1303" s="52"/>
      <c r="U1303" s="52"/>
      <c r="V1303" s="52"/>
      <c r="W1303" s="52"/>
      <c r="X1303" s="52"/>
      <c r="Y1303" s="52"/>
      <c r="Z1303" s="52"/>
    </row>
    <row r="1304" spans="1:26" ht="15.75" customHeight="1">
      <c r="A1304" s="52"/>
      <c r="B1304" s="52"/>
      <c r="C1304" s="52"/>
      <c r="D1304" s="52"/>
      <c r="E1304" s="52"/>
      <c r="F1304" s="71"/>
      <c r="G1304" s="52"/>
      <c r="H1304" s="52"/>
      <c r="I1304" s="52"/>
      <c r="J1304" s="52"/>
      <c r="K1304" s="52"/>
      <c r="L1304" s="52"/>
      <c r="M1304" s="52"/>
      <c r="N1304" s="52"/>
      <c r="O1304" s="52"/>
      <c r="P1304" s="52"/>
      <c r="Q1304" s="52"/>
      <c r="R1304" s="52"/>
      <c r="S1304" s="52"/>
      <c r="T1304" s="52"/>
      <c r="U1304" s="52"/>
      <c r="V1304" s="52"/>
      <c r="W1304" s="52"/>
      <c r="X1304" s="52"/>
      <c r="Y1304" s="52"/>
      <c r="Z1304" s="52"/>
    </row>
    <row r="1305" spans="1:26" ht="15.75" customHeight="1">
      <c r="A1305" s="52"/>
      <c r="B1305" s="52"/>
      <c r="C1305" s="52"/>
      <c r="D1305" s="52"/>
      <c r="E1305" s="52"/>
      <c r="F1305" s="71"/>
      <c r="G1305" s="52"/>
      <c r="H1305" s="52"/>
      <c r="I1305" s="52"/>
      <c r="J1305" s="52"/>
      <c r="K1305" s="52"/>
      <c r="L1305" s="52"/>
      <c r="M1305" s="52"/>
      <c r="N1305" s="52"/>
      <c r="O1305" s="52"/>
      <c r="P1305" s="52"/>
      <c r="Q1305" s="52"/>
      <c r="R1305" s="52"/>
      <c r="S1305" s="52"/>
      <c r="T1305" s="52"/>
      <c r="U1305" s="52"/>
      <c r="V1305" s="52"/>
      <c r="W1305" s="52"/>
      <c r="X1305" s="52"/>
      <c r="Y1305" s="52"/>
      <c r="Z1305" s="52"/>
    </row>
    <row r="1306" spans="1:26" ht="15.75" customHeight="1">
      <c r="A1306" s="52"/>
      <c r="B1306" s="52"/>
      <c r="C1306" s="52"/>
      <c r="D1306" s="52"/>
      <c r="E1306" s="52"/>
      <c r="F1306" s="71"/>
      <c r="G1306" s="52"/>
      <c r="H1306" s="52"/>
      <c r="I1306" s="52"/>
      <c r="J1306" s="52"/>
      <c r="K1306" s="52"/>
      <c r="L1306" s="52"/>
      <c r="M1306" s="52"/>
      <c r="N1306" s="52"/>
      <c r="O1306" s="52"/>
      <c r="P1306" s="52"/>
      <c r="Q1306" s="52"/>
      <c r="R1306" s="52"/>
      <c r="S1306" s="52"/>
      <c r="T1306" s="52"/>
      <c r="U1306" s="52"/>
      <c r="V1306" s="52"/>
      <c r="W1306" s="52"/>
      <c r="X1306" s="52"/>
      <c r="Y1306" s="52"/>
      <c r="Z1306" s="52"/>
    </row>
    <row r="1307" spans="1:26" ht="15.75" customHeight="1">
      <c r="A1307" s="52"/>
      <c r="B1307" s="52"/>
      <c r="C1307" s="52"/>
      <c r="D1307" s="52"/>
      <c r="E1307" s="52"/>
      <c r="F1307" s="71"/>
      <c r="G1307" s="52"/>
      <c r="H1307" s="52"/>
      <c r="I1307" s="52"/>
      <c r="J1307" s="52"/>
      <c r="K1307" s="52"/>
      <c r="L1307" s="52"/>
      <c r="M1307" s="52"/>
      <c r="N1307" s="52"/>
      <c r="O1307" s="52"/>
      <c r="P1307" s="52"/>
      <c r="Q1307" s="52"/>
      <c r="R1307" s="52"/>
      <c r="S1307" s="52"/>
      <c r="T1307" s="52"/>
      <c r="U1307" s="52"/>
      <c r="V1307" s="52"/>
      <c r="W1307" s="52"/>
      <c r="X1307" s="52"/>
      <c r="Y1307" s="52"/>
      <c r="Z1307" s="52"/>
    </row>
    <row r="1308" spans="1:26" ht="15.75" customHeight="1">
      <c r="A1308" s="52"/>
      <c r="B1308" s="52"/>
      <c r="C1308" s="52"/>
      <c r="D1308" s="52"/>
      <c r="E1308" s="52"/>
      <c r="F1308" s="71"/>
      <c r="G1308" s="52"/>
      <c r="H1308" s="52"/>
      <c r="I1308" s="52"/>
      <c r="J1308" s="52"/>
      <c r="K1308" s="52"/>
      <c r="L1308" s="52"/>
      <c r="M1308" s="52"/>
      <c r="N1308" s="52"/>
      <c r="O1308" s="52"/>
      <c r="P1308" s="52"/>
      <c r="Q1308" s="52"/>
      <c r="R1308" s="52"/>
      <c r="S1308" s="52"/>
      <c r="T1308" s="52"/>
      <c r="U1308" s="52"/>
      <c r="V1308" s="52"/>
      <c r="W1308" s="52"/>
      <c r="X1308" s="52"/>
      <c r="Y1308" s="52"/>
      <c r="Z1308" s="52"/>
    </row>
    <row r="1309" spans="1:26" ht="15.75" customHeight="1">
      <c r="A1309" s="52"/>
      <c r="B1309" s="52"/>
      <c r="C1309" s="52"/>
      <c r="D1309" s="52"/>
      <c r="E1309" s="52"/>
      <c r="F1309" s="71"/>
      <c r="G1309" s="52"/>
      <c r="H1309" s="52"/>
      <c r="I1309" s="52"/>
      <c r="J1309" s="52"/>
      <c r="K1309" s="52"/>
      <c r="L1309" s="52"/>
      <c r="M1309" s="52"/>
      <c r="N1309" s="52"/>
      <c r="O1309" s="52"/>
      <c r="P1309" s="52"/>
      <c r="Q1309" s="52"/>
      <c r="R1309" s="52"/>
      <c r="S1309" s="52"/>
      <c r="T1309" s="52"/>
      <c r="U1309" s="52"/>
      <c r="V1309" s="52"/>
      <c r="W1309" s="52"/>
      <c r="X1309" s="52"/>
      <c r="Y1309" s="52"/>
      <c r="Z1309" s="52"/>
    </row>
    <row r="1310" spans="1:26" ht="15.75" customHeight="1">
      <c r="A1310" s="52"/>
      <c r="B1310" s="52"/>
      <c r="C1310" s="52"/>
      <c r="D1310" s="52"/>
      <c r="E1310" s="52"/>
      <c r="F1310" s="71"/>
      <c r="G1310" s="52"/>
      <c r="H1310" s="52"/>
      <c r="I1310" s="52"/>
      <c r="J1310" s="52"/>
      <c r="K1310" s="52"/>
      <c r="L1310" s="52"/>
      <c r="M1310" s="52"/>
      <c r="N1310" s="52"/>
      <c r="O1310" s="52"/>
      <c r="P1310" s="52"/>
      <c r="Q1310" s="52"/>
      <c r="R1310" s="52"/>
      <c r="S1310" s="52"/>
      <c r="T1310" s="52"/>
      <c r="U1310" s="52"/>
      <c r="V1310" s="52"/>
      <c r="W1310" s="52"/>
      <c r="X1310" s="52"/>
      <c r="Y1310" s="52"/>
      <c r="Z1310" s="52"/>
    </row>
    <row r="1311" spans="1:26" ht="15.75" customHeight="1">
      <c r="A1311" s="52"/>
      <c r="B1311" s="52"/>
      <c r="C1311" s="52"/>
      <c r="D1311" s="52"/>
      <c r="E1311" s="52"/>
      <c r="F1311" s="71"/>
      <c r="G1311" s="52"/>
      <c r="H1311" s="52"/>
      <c r="I1311" s="52"/>
      <c r="J1311" s="52"/>
      <c r="K1311" s="52"/>
      <c r="L1311" s="52"/>
      <c r="M1311" s="52"/>
      <c r="N1311" s="52"/>
      <c r="O1311" s="52"/>
      <c r="P1311" s="52"/>
      <c r="Q1311" s="52"/>
      <c r="R1311" s="52"/>
      <c r="S1311" s="52"/>
      <c r="T1311" s="52"/>
      <c r="U1311" s="52"/>
      <c r="V1311" s="52"/>
      <c r="W1311" s="52"/>
      <c r="X1311" s="52"/>
      <c r="Y1311" s="52"/>
      <c r="Z1311" s="52"/>
    </row>
    <row r="1312" spans="1:26" ht="15.75" customHeight="1">
      <c r="A1312" s="52"/>
      <c r="B1312" s="52"/>
      <c r="C1312" s="52"/>
      <c r="D1312" s="52"/>
      <c r="E1312" s="52"/>
      <c r="F1312" s="71"/>
      <c r="G1312" s="52"/>
      <c r="H1312" s="52"/>
      <c r="I1312" s="52"/>
      <c r="J1312" s="52"/>
      <c r="K1312" s="52"/>
      <c r="L1312" s="52"/>
      <c r="M1312" s="52"/>
      <c r="N1312" s="52"/>
      <c r="O1312" s="52"/>
      <c r="P1312" s="52"/>
      <c r="Q1312" s="52"/>
      <c r="R1312" s="52"/>
      <c r="S1312" s="52"/>
      <c r="T1312" s="52"/>
      <c r="U1312" s="52"/>
      <c r="V1312" s="52"/>
      <c r="W1312" s="52"/>
      <c r="X1312" s="52"/>
      <c r="Y1312" s="52"/>
      <c r="Z1312" s="52"/>
    </row>
    <row r="1313" spans="1:26" ht="15.75" customHeight="1">
      <c r="A1313" s="52"/>
      <c r="B1313" s="52"/>
      <c r="C1313" s="52"/>
      <c r="D1313" s="52"/>
      <c r="E1313" s="52"/>
      <c r="F1313" s="71"/>
      <c r="G1313" s="52"/>
      <c r="H1313" s="52"/>
      <c r="I1313" s="52"/>
      <c r="J1313" s="52"/>
      <c r="K1313" s="52"/>
      <c r="L1313" s="52"/>
      <c r="M1313" s="52"/>
      <c r="N1313" s="52"/>
      <c r="O1313" s="52"/>
      <c r="P1313" s="52"/>
      <c r="Q1313" s="52"/>
      <c r="R1313" s="52"/>
      <c r="S1313" s="52"/>
      <c r="T1313" s="52"/>
      <c r="U1313" s="52"/>
      <c r="V1313" s="52"/>
      <c r="W1313" s="52"/>
      <c r="X1313" s="52"/>
      <c r="Y1313" s="52"/>
      <c r="Z1313" s="52"/>
    </row>
    <row r="1314" spans="1:26" ht="15.75" customHeight="1">
      <c r="A1314" s="52"/>
      <c r="B1314" s="52"/>
      <c r="C1314" s="52"/>
      <c r="D1314" s="52"/>
      <c r="E1314" s="52"/>
      <c r="F1314" s="71"/>
      <c r="G1314" s="52"/>
      <c r="H1314" s="52"/>
      <c r="I1314" s="52"/>
      <c r="J1314" s="52"/>
      <c r="K1314" s="52"/>
      <c r="L1314" s="52"/>
      <c r="M1314" s="52"/>
      <c r="N1314" s="52"/>
      <c r="O1314" s="52"/>
      <c r="P1314" s="52"/>
      <c r="Q1314" s="52"/>
      <c r="R1314" s="52"/>
      <c r="S1314" s="52"/>
      <c r="T1314" s="52"/>
      <c r="U1314" s="52"/>
      <c r="V1314" s="52"/>
      <c r="W1314" s="52"/>
      <c r="X1314" s="52"/>
      <c r="Y1314" s="52"/>
      <c r="Z1314" s="52"/>
    </row>
    <row r="1315" spans="1:26" ht="15.75" customHeight="1">
      <c r="A1315" s="52"/>
      <c r="B1315" s="52"/>
      <c r="C1315" s="52"/>
      <c r="D1315" s="52"/>
      <c r="E1315" s="52"/>
      <c r="F1315" s="71"/>
      <c r="G1315" s="52"/>
      <c r="H1315" s="52"/>
      <c r="I1315" s="52"/>
      <c r="J1315" s="52"/>
      <c r="K1315" s="52"/>
      <c r="L1315" s="52"/>
      <c r="M1315" s="52"/>
      <c r="N1315" s="52"/>
      <c r="O1315" s="52"/>
      <c r="P1315" s="52"/>
      <c r="Q1315" s="52"/>
      <c r="R1315" s="52"/>
      <c r="S1315" s="52"/>
      <c r="T1315" s="52"/>
      <c r="U1315" s="52"/>
      <c r="V1315" s="52"/>
      <c r="W1315" s="52"/>
      <c r="X1315" s="52"/>
      <c r="Y1315" s="52"/>
      <c r="Z1315" s="52"/>
    </row>
    <row r="1316" spans="1:26" ht="15.75" customHeight="1">
      <c r="A1316" s="52"/>
      <c r="B1316" s="52"/>
      <c r="C1316" s="52"/>
      <c r="D1316" s="52"/>
      <c r="E1316" s="52"/>
      <c r="F1316" s="71"/>
      <c r="G1316" s="52"/>
      <c r="H1316" s="52"/>
      <c r="I1316" s="52"/>
      <c r="J1316" s="52"/>
      <c r="K1316" s="52"/>
      <c r="L1316" s="52"/>
      <c r="M1316" s="52"/>
      <c r="N1316" s="52"/>
      <c r="O1316" s="52"/>
      <c r="P1316" s="52"/>
      <c r="Q1316" s="52"/>
      <c r="R1316" s="52"/>
      <c r="S1316" s="52"/>
      <c r="T1316" s="52"/>
      <c r="U1316" s="52"/>
      <c r="V1316" s="52"/>
      <c r="W1316" s="52"/>
      <c r="X1316" s="52"/>
      <c r="Y1316" s="52"/>
      <c r="Z1316" s="52"/>
    </row>
    <row r="1317" spans="1:26" ht="15.75" customHeight="1">
      <c r="A1317" s="52"/>
      <c r="B1317" s="52"/>
      <c r="C1317" s="52"/>
      <c r="D1317" s="52"/>
      <c r="E1317" s="52"/>
      <c r="F1317" s="71"/>
      <c r="G1317" s="52"/>
      <c r="H1317" s="52"/>
      <c r="I1317" s="52"/>
      <c r="J1317" s="52"/>
      <c r="K1317" s="52"/>
      <c r="L1317" s="52"/>
      <c r="M1317" s="52"/>
      <c r="N1317" s="52"/>
      <c r="O1317" s="52"/>
      <c r="P1317" s="52"/>
      <c r="Q1317" s="52"/>
      <c r="R1317" s="52"/>
      <c r="S1317" s="52"/>
      <c r="T1317" s="52"/>
      <c r="U1317" s="52"/>
      <c r="V1317" s="52"/>
      <c r="W1317" s="52"/>
      <c r="X1317" s="52"/>
      <c r="Y1317" s="52"/>
      <c r="Z1317" s="52"/>
    </row>
    <row r="1318" spans="1:26" ht="15.75" customHeight="1">
      <c r="A1318" s="52"/>
      <c r="B1318" s="52"/>
      <c r="C1318" s="52"/>
      <c r="D1318" s="52"/>
      <c r="E1318" s="52"/>
      <c r="F1318" s="71"/>
      <c r="G1318" s="52"/>
      <c r="H1318" s="52"/>
      <c r="I1318" s="52"/>
      <c r="J1318" s="52"/>
      <c r="K1318" s="52"/>
      <c r="L1318" s="52"/>
      <c r="M1318" s="52"/>
      <c r="N1318" s="52"/>
      <c r="O1318" s="52"/>
      <c r="P1318" s="52"/>
      <c r="Q1318" s="52"/>
      <c r="R1318" s="52"/>
      <c r="S1318" s="52"/>
      <c r="T1318" s="52"/>
      <c r="U1318" s="52"/>
      <c r="V1318" s="52"/>
      <c r="W1318" s="52"/>
      <c r="X1318" s="52"/>
      <c r="Y1318" s="52"/>
      <c r="Z1318" s="52"/>
    </row>
    <row r="1319" spans="1:26" ht="15.75" customHeight="1">
      <c r="A1319" s="52"/>
      <c r="B1319" s="52"/>
      <c r="C1319" s="52"/>
      <c r="D1319" s="52"/>
      <c r="E1319" s="52"/>
      <c r="F1319" s="71"/>
      <c r="G1319" s="52"/>
      <c r="H1319" s="52"/>
      <c r="I1319" s="52"/>
      <c r="J1319" s="52"/>
      <c r="K1319" s="52"/>
      <c r="L1319" s="52"/>
      <c r="M1319" s="52"/>
      <c r="N1319" s="52"/>
      <c r="O1319" s="52"/>
      <c r="P1319" s="52"/>
      <c r="Q1319" s="52"/>
      <c r="R1319" s="52"/>
      <c r="S1319" s="52"/>
      <c r="T1319" s="52"/>
      <c r="U1319" s="52"/>
      <c r="V1319" s="52"/>
      <c r="W1319" s="52"/>
      <c r="X1319" s="52"/>
      <c r="Y1319" s="52"/>
      <c r="Z1319" s="52"/>
    </row>
    <row r="1320" spans="1:26" ht="15.75" customHeight="1">
      <c r="A1320" s="52"/>
      <c r="B1320" s="52"/>
      <c r="C1320" s="52"/>
      <c r="D1320" s="52"/>
      <c r="E1320" s="52"/>
      <c r="F1320" s="71"/>
      <c r="G1320" s="52"/>
      <c r="H1320" s="52"/>
      <c r="I1320" s="52"/>
      <c r="J1320" s="52"/>
      <c r="K1320" s="52"/>
      <c r="L1320" s="52"/>
      <c r="M1320" s="52"/>
      <c r="N1320" s="52"/>
      <c r="O1320" s="52"/>
      <c r="P1320" s="52"/>
      <c r="Q1320" s="52"/>
      <c r="R1320" s="52"/>
      <c r="S1320" s="52"/>
      <c r="T1320" s="52"/>
      <c r="U1320" s="52"/>
      <c r="V1320" s="52"/>
      <c r="W1320" s="52"/>
      <c r="X1320" s="52"/>
      <c r="Y1320" s="52"/>
      <c r="Z1320" s="52"/>
    </row>
    <row r="1321" spans="1:26" ht="15.75" customHeight="1">
      <c r="A1321" s="52"/>
      <c r="B1321" s="52"/>
      <c r="C1321" s="52"/>
      <c r="D1321" s="52"/>
      <c r="E1321" s="52"/>
      <c r="F1321" s="71"/>
      <c r="G1321" s="52"/>
      <c r="H1321" s="52"/>
      <c r="I1321" s="52"/>
      <c r="J1321" s="52"/>
      <c r="K1321" s="52"/>
      <c r="L1321" s="52"/>
      <c r="M1321" s="52"/>
      <c r="N1321" s="52"/>
      <c r="O1321" s="52"/>
      <c r="P1321" s="52"/>
      <c r="Q1321" s="52"/>
      <c r="R1321" s="52"/>
      <c r="S1321" s="52"/>
      <c r="T1321" s="52"/>
      <c r="U1321" s="52"/>
      <c r="V1321" s="52"/>
      <c r="W1321" s="52"/>
      <c r="X1321" s="52"/>
      <c r="Y1321" s="52"/>
      <c r="Z1321" s="52"/>
    </row>
    <row r="1322" spans="1:26" ht="15.75" customHeight="1">
      <c r="A1322" s="52"/>
      <c r="B1322" s="52"/>
      <c r="C1322" s="52"/>
      <c r="D1322" s="52"/>
      <c r="E1322" s="52"/>
      <c r="F1322" s="71"/>
      <c r="G1322" s="52"/>
      <c r="H1322" s="52"/>
      <c r="I1322" s="52"/>
      <c r="J1322" s="52"/>
      <c r="K1322" s="52"/>
      <c r="L1322" s="52"/>
      <c r="M1322" s="52"/>
      <c r="N1322" s="52"/>
      <c r="O1322" s="52"/>
      <c r="P1322" s="52"/>
      <c r="Q1322" s="52"/>
      <c r="R1322" s="52"/>
      <c r="S1322" s="52"/>
      <c r="T1322" s="52"/>
      <c r="U1322" s="52"/>
      <c r="V1322" s="52"/>
      <c r="W1322" s="52"/>
      <c r="X1322" s="52"/>
      <c r="Y1322" s="52"/>
      <c r="Z1322" s="52"/>
    </row>
    <row r="1323" spans="1:26" ht="15.75" customHeight="1">
      <c r="A1323" s="52"/>
      <c r="B1323" s="52"/>
      <c r="C1323" s="52"/>
      <c r="D1323" s="52"/>
      <c r="E1323" s="52"/>
      <c r="F1323" s="71"/>
      <c r="G1323" s="52"/>
      <c r="H1323" s="52"/>
      <c r="I1323" s="52"/>
      <c r="J1323" s="52"/>
      <c r="K1323" s="52"/>
      <c r="L1323" s="52"/>
      <c r="M1323" s="52"/>
      <c r="N1323" s="52"/>
      <c r="O1323" s="52"/>
      <c r="P1323" s="52"/>
      <c r="Q1323" s="52"/>
      <c r="R1323" s="52"/>
      <c r="S1323" s="52"/>
      <c r="T1323" s="52"/>
      <c r="U1323" s="52"/>
      <c r="V1323" s="52"/>
      <c r="W1323" s="52"/>
      <c r="X1323" s="52"/>
      <c r="Y1323" s="52"/>
      <c r="Z1323" s="52"/>
    </row>
    <row r="1324" spans="1:26" ht="15.75" customHeight="1">
      <c r="A1324" s="52"/>
      <c r="B1324" s="52"/>
      <c r="C1324" s="52"/>
      <c r="D1324" s="52"/>
      <c r="E1324" s="52"/>
      <c r="F1324" s="71"/>
      <c r="G1324" s="52"/>
      <c r="H1324" s="52"/>
      <c r="I1324" s="52"/>
      <c r="J1324" s="52"/>
      <c r="K1324" s="52"/>
      <c r="L1324" s="52"/>
      <c r="M1324" s="52"/>
      <c r="N1324" s="52"/>
      <c r="O1324" s="52"/>
      <c r="P1324" s="52"/>
      <c r="Q1324" s="52"/>
      <c r="R1324" s="52"/>
      <c r="S1324" s="52"/>
      <c r="T1324" s="52"/>
      <c r="U1324" s="52"/>
      <c r="V1324" s="52"/>
      <c r="W1324" s="52"/>
      <c r="X1324" s="52"/>
      <c r="Y1324" s="52"/>
      <c r="Z1324" s="52"/>
    </row>
    <row r="1325" spans="1:26" ht="15.75" customHeight="1">
      <c r="A1325" s="52"/>
      <c r="B1325" s="52"/>
      <c r="C1325" s="52"/>
      <c r="D1325" s="52"/>
      <c r="E1325" s="52"/>
      <c r="F1325" s="71"/>
      <c r="G1325" s="52"/>
      <c r="H1325" s="52"/>
      <c r="I1325" s="52"/>
      <c r="J1325" s="52"/>
      <c r="K1325" s="52"/>
      <c r="L1325" s="52"/>
      <c r="M1325" s="52"/>
      <c r="N1325" s="52"/>
      <c r="O1325" s="52"/>
      <c r="P1325" s="52"/>
      <c r="Q1325" s="52"/>
      <c r="R1325" s="52"/>
      <c r="S1325" s="52"/>
      <c r="T1325" s="52"/>
      <c r="U1325" s="52"/>
      <c r="V1325" s="52"/>
      <c r="W1325" s="52"/>
      <c r="X1325" s="52"/>
      <c r="Y1325" s="52"/>
      <c r="Z1325" s="52"/>
    </row>
    <row r="1326" spans="1:26" ht="15.75" customHeight="1">
      <c r="A1326" s="52"/>
      <c r="B1326" s="52"/>
      <c r="C1326" s="52"/>
      <c r="D1326" s="52"/>
      <c r="E1326" s="52"/>
      <c r="F1326" s="71"/>
      <c r="G1326" s="52"/>
      <c r="H1326" s="52"/>
      <c r="I1326" s="52"/>
      <c r="J1326" s="52"/>
      <c r="K1326" s="52"/>
      <c r="L1326" s="52"/>
      <c r="M1326" s="52"/>
      <c r="N1326" s="52"/>
      <c r="O1326" s="52"/>
      <c r="P1326" s="52"/>
      <c r="Q1326" s="52"/>
      <c r="R1326" s="52"/>
      <c r="S1326" s="52"/>
      <c r="T1326" s="52"/>
      <c r="U1326" s="52"/>
      <c r="V1326" s="52"/>
      <c r="W1326" s="52"/>
      <c r="X1326" s="52"/>
      <c r="Y1326" s="52"/>
      <c r="Z1326" s="52"/>
    </row>
    <row r="1327" spans="1:26" ht="15.75" customHeight="1">
      <c r="A1327" s="52"/>
      <c r="B1327" s="52"/>
      <c r="C1327" s="52"/>
      <c r="D1327" s="52"/>
      <c r="E1327" s="52"/>
      <c r="F1327" s="71"/>
      <c r="G1327" s="52"/>
      <c r="H1327" s="52"/>
      <c r="I1327" s="52"/>
      <c r="J1327" s="52"/>
      <c r="K1327" s="52"/>
      <c r="L1327" s="52"/>
      <c r="M1327" s="52"/>
      <c r="N1327" s="52"/>
      <c r="O1327" s="52"/>
      <c r="P1327" s="52"/>
      <c r="Q1327" s="52"/>
      <c r="R1327" s="52"/>
      <c r="S1327" s="52"/>
      <c r="T1327" s="52"/>
      <c r="U1327" s="52"/>
      <c r="V1327" s="52"/>
      <c r="W1327" s="52"/>
      <c r="X1327" s="52"/>
      <c r="Y1327" s="52"/>
      <c r="Z1327" s="52"/>
    </row>
    <row r="1328" spans="1:26" ht="15.75" customHeight="1">
      <c r="A1328" s="52"/>
      <c r="B1328" s="52"/>
      <c r="C1328" s="52"/>
      <c r="D1328" s="52"/>
      <c r="E1328" s="52"/>
      <c r="F1328" s="71"/>
      <c r="G1328" s="52"/>
      <c r="H1328" s="52"/>
      <c r="I1328" s="52"/>
      <c r="J1328" s="52"/>
      <c r="K1328" s="52"/>
      <c r="L1328" s="52"/>
      <c r="M1328" s="52"/>
      <c r="N1328" s="52"/>
      <c r="O1328" s="52"/>
      <c r="P1328" s="52"/>
      <c r="Q1328" s="52"/>
      <c r="R1328" s="52"/>
      <c r="S1328" s="52"/>
      <c r="T1328" s="52"/>
      <c r="U1328" s="52"/>
      <c r="V1328" s="52"/>
      <c r="W1328" s="52"/>
      <c r="X1328" s="52"/>
      <c r="Y1328" s="52"/>
      <c r="Z1328" s="52"/>
    </row>
    <row r="1329" spans="1:26" ht="15.75" customHeight="1">
      <c r="A1329" s="52"/>
      <c r="B1329" s="52"/>
      <c r="C1329" s="52"/>
      <c r="D1329" s="52"/>
      <c r="E1329" s="52"/>
      <c r="F1329" s="71"/>
      <c r="G1329" s="52"/>
      <c r="H1329" s="52"/>
      <c r="I1329" s="52"/>
      <c r="J1329" s="52"/>
      <c r="K1329" s="52"/>
      <c r="L1329" s="52"/>
      <c r="M1329" s="52"/>
      <c r="N1329" s="52"/>
      <c r="O1329" s="52"/>
      <c r="P1329" s="52"/>
      <c r="Q1329" s="52"/>
      <c r="R1329" s="52"/>
      <c r="S1329" s="52"/>
      <c r="T1329" s="52"/>
      <c r="U1329" s="52"/>
      <c r="V1329" s="52"/>
      <c r="W1329" s="52"/>
      <c r="X1329" s="52"/>
      <c r="Y1329" s="52"/>
      <c r="Z1329" s="52"/>
    </row>
    <row r="1330" spans="1:26" ht="15.75" customHeight="1">
      <c r="A1330" s="52"/>
      <c r="B1330" s="52"/>
      <c r="C1330" s="52"/>
      <c r="D1330" s="52"/>
      <c r="E1330" s="52"/>
      <c r="F1330" s="71"/>
      <c r="G1330" s="52"/>
      <c r="H1330" s="52"/>
      <c r="I1330" s="52"/>
      <c r="J1330" s="52"/>
      <c r="K1330" s="52"/>
      <c r="L1330" s="52"/>
      <c r="M1330" s="52"/>
      <c r="N1330" s="52"/>
      <c r="O1330" s="52"/>
      <c r="P1330" s="52"/>
      <c r="Q1330" s="52"/>
      <c r="R1330" s="52"/>
      <c r="S1330" s="52"/>
      <c r="T1330" s="52"/>
      <c r="U1330" s="52"/>
      <c r="V1330" s="52"/>
      <c r="W1330" s="52"/>
      <c r="X1330" s="52"/>
      <c r="Y1330" s="52"/>
      <c r="Z1330" s="52"/>
    </row>
    <row r="1331" spans="1:26" ht="15.75" customHeight="1">
      <c r="A1331" s="52"/>
      <c r="B1331" s="52"/>
      <c r="C1331" s="52"/>
      <c r="D1331" s="52"/>
      <c r="E1331" s="52"/>
      <c r="F1331" s="71"/>
      <c r="G1331" s="52"/>
      <c r="H1331" s="52"/>
      <c r="I1331" s="52"/>
      <c r="J1331" s="52"/>
      <c r="K1331" s="52"/>
      <c r="L1331" s="52"/>
      <c r="M1331" s="52"/>
      <c r="N1331" s="52"/>
      <c r="O1331" s="52"/>
      <c r="P1331" s="52"/>
      <c r="Q1331" s="52"/>
      <c r="R1331" s="52"/>
      <c r="S1331" s="52"/>
      <c r="T1331" s="52"/>
      <c r="U1331" s="52"/>
      <c r="V1331" s="52"/>
      <c r="W1331" s="52"/>
      <c r="X1331" s="52"/>
      <c r="Y1331" s="52"/>
      <c r="Z1331" s="52"/>
    </row>
    <row r="1332" spans="1:26" ht="15.75" customHeight="1">
      <c r="A1332" s="52"/>
      <c r="B1332" s="52"/>
      <c r="C1332" s="52"/>
      <c r="D1332" s="52"/>
      <c r="E1332" s="52"/>
      <c r="F1332" s="71"/>
      <c r="G1332" s="52"/>
      <c r="H1332" s="52"/>
      <c r="I1332" s="52"/>
      <c r="J1332" s="52"/>
      <c r="K1332" s="52"/>
      <c r="L1332" s="52"/>
      <c r="M1332" s="52"/>
      <c r="N1332" s="52"/>
      <c r="O1332" s="52"/>
      <c r="P1332" s="52"/>
      <c r="Q1332" s="52"/>
      <c r="R1332" s="52"/>
      <c r="S1332" s="52"/>
      <c r="T1332" s="52"/>
      <c r="U1332" s="52"/>
      <c r="V1332" s="52"/>
      <c r="W1332" s="52"/>
      <c r="X1332" s="52"/>
      <c r="Y1332" s="52"/>
      <c r="Z1332" s="52"/>
    </row>
    <row r="1333" spans="1:26" ht="15.75" customHeight="1">
      <c r="A1333" s="52"/>
      <c r="B1333" s="52"/>
      <c r="C1333" s="52"/>
      <c r="D1333" s="52"/>
      <c r="E1333" s="52"/>
      <c r="F1333" s="71"/>
      <c r="G1333" s="52"/>
      <c r="H1333" s="52"/>
      <c r="I1333" s="52"/>
      <c r="J1333" s="52"/>
      <c r="K1333" s="52"/>
      <c r="L1333" s="52"/>
      <c r="M1333" s="52"/>
      <c r="N1333" s="52"/>
      <c r="O1333" s="52"/>
      <c r="P1333" s="52"/>
      <c r="Q1333" s="52"/>
      <c r="R1333" s="52"/>
      <c r="S1333" s="52"/>
      <c r="T1333" s="52"/>
      <c r="U1333" s="52"/>
      <c r="V1333" s="52"/>
      <c r="W1333" s="52"/>
      <c r="X1333" s="52"/>
      <c r="Y1333" s="52"/>
      <c r="Z1333" s="52"/>
    </row>
    <row r="1334" spans="1:26" ht="15.75" customHeight="1">
      <c r="A1334" s="52"/>
      <c r="B1334" s="52"/>
      <c r="C1334" s="52"/>
      <c r="D1334" s="52"/>
      <c r="E1334" s="52"/>
      <c r="F1334" s="71"/>
      <c r="G1334" s="52"/>
      <c r="H1334" s="52"/>
      <c r="I1334" s="52"/>
      <c r="J1334" s="52"/>
      <c r="K1334" s="52"/>
      <c r="L1334" s="52"/>
      <c r="M1334" s="52"/>
      <c r="N1334" s="52"/>
      <c r="O1334" s="52"/>
      <c r="P1334" s="52"/>
      <c r="Q1334" s="52"/>
      <c r="R1334" s="52"/>
      <c r="S1334" s="52"/>
      <c r="T1334" s="52"/>
      <c r="U1334" s="52"/>
      <c r="V1334" s="52"/>
      <c r="W1334" s="52"/>
      <c r="X1334" s="52"/>
      <c r="Y1334" s="52"/>
      <c r="Z1334" s="52"/>
    </row>
    <row r="1335" spans="1:26" ht="15.75" customHeight="1">
      <c r="A1335" s="52"/>
      <c r="B1335" s="52"/>
      <c r="C1335" s="52"/>
      <c r="D1335" s="52"/>
      <c r="E1335" s="52"/>
      <c r="F1335" s="71"/>
      <c r="G1335" s="52"/>
      <c r="H1335" s="52"/>
      <c r="I1335" s="52"/>
      <c r="J1335" s="52"/>
      <c r="K1335" s="52"/>
      <c r="L1335" s="52"/>
      <c r="M1335" s="52"/>
      <c r="N1335" s="52"/>
      <c r="O1335" s="52"/>
      <c r="P1335" s="52"/>
      <c r="Q1335" s="52"/>
      <c r="R1335" s="52"/>
      <c r="S1335" s="52"/>
      <c r="T1335" s="52"/>
      <c r="U1335" s="52"/>
      <c r="V1335" s="52"/>
      <c r="W1335" s="52"/>
      <c r="X1335" s="52"/>
      <c r="Y1335" s="52"/>
      <c r="Z1335" s="52"/>
    </row>
    <row r="1336" spans="1:26" ht="15.75" customHeight="1">
      <c r="A1336" s="52"/>
      <c r="B1336" s="52"/>
      <c r="C1336" s="52"/>
      <c r="D1336" s="52"/>
      <c r="E1336" s="52"/>
      <c r="F1336" s="71"/>
      <c r="G1336" s="52"/>
      <c r="H1336" s="52"/>
      <c r="I1336" s="52"/>
      <c r="J1336" s="52"/>
      <c r="K1336" s="52"/>
      <c r="L1336" s="52"/>
      <c r="M1336" s="52"/>
      <c r="N1336" s="52"/>
      <c r="O1336" s="52"/>
      <c r="P1336" s="52"/>
      <c r="Q1336" s="52"/>
      <c r="R1336" s="52"/>
      <c r="S1336" s="52"/>
      <c r="T1336" s="52"/>
      <c r="U1336" s="52"/>
      <c r="V1336" s="52"/>
      <c r="W1336" s="52"/>
      <c r="X1336" s="52"/>
      <c r="Y1336" s="52"/>
      <c r="Z1336" s="52"/>
    </row>
    <row r="1337" spans="1:26" ht="15.75" customHeight="1">
      <c r="A1337" s="52"/>
      <c r="B1337" s="52"/>
      <c r="C1337" s="52"/>
      <c r="D1337" s="52"/>
      <c r="E1337" s="52"/>
      <c r="F1337" s="71"/>
      <c r="G1337" s="52"/>
      <c r="H1337" s="52"/>
      <c r="I1337" s="52"/>
      <c r="J1337" s="52"/>
      <c r="K1337" s="52"/>
      <c r="L1337" s="52"/>
      <c r="M1337" s="52"/>
      <c r="N1337" s="52"/>
      <c r="O1337" s="52"/>
      <c r="P1337" s="52"/>
      <c r="Q1337" s="52"/>
      <c r="R1337" s="52"/>
      <c r="S1337" s="52"/>
      <c r="T1337" s="52"/>
      <c r="U1337" s="52"/>
      <c r="V1337" s="52"/>
      <c r="W1337" s="52"/>
      <c r="X1337" s="52"/>
      <c r="Y1337" s="52"/>
      <c r="Z1337" s="52"/>
    </row>
    <row r="1338" spans="1:26" ht="15.75" customHeight="1">
      <c r="A1338" s="52"/>
      <c r="B1338" s="52"/>
      <c r="C1338" s="52"/>
      <c r="D1338" s="52"/>
      <c r="E1338" s="52"/>
      <c r="F1338" s="71"/>
      <c r="G1338" s="52"/>
      <c r="H1338" s="52"/>
      <c r="I1338" s="52"/>
      <c r="J1338" s="52"/>
      <c r="K1338" s="52"/>
      <c r="L1338" s="52"/>
      <c r="M1338" s="52"/>
      <c r="N1338" s="52"/>
      <c r="O1338" s="52"/>
      <c r="P1338" s="52"/>
      <c r="Q1338" s="52"/>
      <c r="R1338" s="52"/>
      <c r="S1338" s="52"/>
      <c r="T1338" s="52"/>
      <c r="U1338" s="52"/>
      <c r="V1338" s="52"/>
      <c r="W1338" s="52"/>
      <c r="X1338" s="52"/>
      <c r="Y1338" s="52"/>
      <c r="Z1338" s="52"/>
    </row>
    <row r="1339" spans="1:26" ht="15.75" customHeight="1">
      <c r="A1339" s="52"/>
      <c r="B1339" s="52"/>
      <c r="C1339" s="52"/>
      <c r="D1339" s="52"/>
      <c r="E1339" s="52"/>
      <c r="F1339" s="71"/>
      <c r="G1339" s="52"/>
      <c r="H1339" s="52"/>
      <c r="I1339" s="52"/>
      <c r="J1339" s="52"/>
      <c r="K1339" s="52"/>
      <c r="L1339" s="52"/>
      <c r="M1339" s="52"/>
      <c r="N1339" s="52"/>
      <c r="O1339" s="52"/>
      <c r="P1339" s="52"/>
      <c r="Q1339" s="52"/>
      <c r="R1339" s="52"/>
      <c r="S1339" s="52"/>
      <c r="T1339" s="52"/>
      <c r="U1339" s="52"/>
      <c r="V1339" s="52"/>
      <c r="W1339" s="52"/>
      <c r="X1339" s="52"/>
      <c r="Y1339" s="52"/>
      <c r="Z1339" s="52"/>
    </row>
    <row r="1340" spans="1:26" ht="15.75" customHeight="1">
      <c r="A1340" s="52"/>
      <c r="B1340" s="52"/>
      <c r="C1340" s="52"/>
      <c r="D1340" s="52"/>
      <c r="E1340" s="52"/>
      <c r="F1340" s="71"/>
      <c r="G1340" s="52"/>
      <c r="H1340" s="52"/>
      <c r="I1340" s="52"/>
      <c r="J1340" s="52"/>
      <c r="K1340" s="52"/>
      <c r="L1340" s="52"/>
      <c r="M1340" s="52"/>
      <c r="N1340" s="52"/>
      <c r="O1340" s="52"/>
      <c r="P1340" s="52"/>
      <c r="Q1340" s="52"/>
      <c r="R1340" s="52"/>
      <c r="S1340" s="52"/>
      <c r="T1340" s="52"/>
      <c r="U1340" s="52"/>
      <c r="V1340" s="52"/>
      <c r="W1340" s="52"/>
      <c r="X1340" s="52"/>
      <c r="Y1340" s="52"/>
      <c r="Z1340" s="52"/>
    </row>
    <row r="1341" spans="1:26" ht="15.75" customHeight="1">
      <c r="A1341" s="52"/>
      <c r="B1341" s="52"/>
      <c r="C1341" s="52"/>
      <c r="D1341" s="52"/>
      <c r="E1341" s="52"/>
      <c r="F1341" s="71"/>
      <c r="G1341" s="52"/>
      <c r="H1341" s="52"/>
      <c r="I1341" s="52"/>
      <c r="J1341" s="52"/>
      <c r="K1341" s="52"/>
      <c r="L1341" s="52"/>
      <c r="M1341" s="52"/>
      <c r="N1341" s="52"/>
      <c r="O1341" s="52"/>
      <c r="P1341" s="52"/>
      <c r="Q1341" s="52"/>
      <c r="R1341" s="52"/>
      <c r="S1341" s="52"/>
      <c r="T1341" s="52"/>
      <c r="U1341" s="52"/>
      <c r="V1341" s="52"/>
      <c r="W1341" s="52"/>
      <c r="X1341" s="52"/>
      <c r="Y1341" s="52"/>
      <c r="Z1341" s="52"/>
    </row>
    <row r="1342" spans="1:26" ht="15.75" customHeight="1">
      <c r="A1342" s="52"/>
      <c r="B1342" s="52"/>
      <c r="C1342" s="52"/>
      <c r="D1342" s="52"/>
      <c r="E1342" s="52"/>
      <c r="F1342" s="71"/>
      <c r="G1342" s="52"/>
      <c r="H1342" s="52"/>
      <c r="I1342" s="52"/>
      <c r="J1342" s="52"/>
      <c r="K1342" s="52"/>
      <c r="L1342" s="52"/>
      <c r="M1342" s="52"/>
      <c r="N1342" s="52"/>
      <c r="O1342" s="52"/>
      <c r="P1342" s="52"/>
      <c r="Q1342" s="52"/>
      <c r="R1342" s="52"/>
      <c r="S1342" s="52"/>
      <c r="T1342" s="52"/>
      <c r="U1342" s="52"/>
      <c r="V1342" s="52"/>
      <c r="W1342" s="52"/>
      <c r="X1342" s="52"/>
      <c r="Y1342" s="52"/>
      <c r="Z1342" s="52"/>
    </row>
    <row r="1343" spans="1:26" ht="15.75" customHeight="1">
      <c r="A1343" s="52"/>
      <c r="B1343" s="52"/>
      <c r="C1343" s="52"/>
      <c r="D1343" s="52"/>
      <c r="E1343" s="52"/>
      <c r="F1343" s="71"/>
      <c r="G1343" s="52"/>
      <c r="H1343" s="52"/>
      <c r="I1343" s="52"/>
      <c r="J1343" s="52"/>
      <c r="K1343" s="52"/>
      <c r="L1343" s="52"/>
      <c r="M1343" s="52"/>
      <c r="N1343" s="52"/>
      <c r="O1343" s="52"/>
      <c r="P1343" s="52"/>
      <c r="Q1343" s="52"/>
      <c r="R1343" s="52"/>
      <c r="S1343" s="52"/>
      <c r="T1343" s="52"/>
      <c r="U1343" s="52"/>
      <c r="V1343" s="52"/>
      <c r="W1343" s="52"/>
      <c r="X1343" s="52"/>
      <c r="Y1343" s="52"/>
      <c r="Z1343" s="52"/>
    </row>
    <row r="1344" spans="1:26" ht="15.75" customHeight="1">
      <c r="A1344" s="52"/>
      <c r="B1344" s="52"/>
      <c r="C1344" s="52"/>
      <c r="D1344" s="52"/>
      <c r="E1344" s="52"/>
      <c r="F1344" s="71"/>
      <c r="G1344" s="52"/>
      <c r="H1344" s="52"/>
      <c r="I1344" s="52"/>
      <c r="J1344" s="52"/>
      <c r="K1344" s="52"/>
      <c r="L1344" s="52"/>
      <c r="M1344" s="52"/>
      <c r="N1344" s="52"/>
      <c r="O1344" s="52"/>
      <c r="P1344" s="52"/>
      <c r="Q1344" s="52"/>
      <c r="R1344" s="52"/>
      <c r="S1344" s="52"/>
      <c r="T1344" s="52"/>
      <c r="U1344" s="52"/>
      <c r="V1344" s="52"/>
      <c r="W1344" s="52"/>
      <c r="X1344" s="52"/>
      <c r="Y1344" s="52"/>
      <c r="Z1344" s="52"/>
    </row>
    <row r="1345" spans="1:26" ht="15.75" customHeight="1">
      <c r="A1345" s="52"/>
      <c r="B1345" s="52"/>
      <c r="C1345" s="52"/>
      <c r="D1345" s="52"/>
      <c r="E1345" s="52"/>
      <c r="F1345" s="71"/>
      <c r="G1345" s="52"/>
      <c r="H1345" s="52"/>
      <c r="I1345" s="52"/>
      <c r="J1345" s="52"/>
      <c r="K1345" s="52"/>
      <c r="L1345" s="52"/>
      <c r="M1345" s="52"/>
      <c r="N1345" s="52"/>
      <c r="O1345" s="52"/>
      <c r="P1345" s="52"/>
      <c r="Q1345" s="52"/>
      <c r="R1345" s="52"/>
      <c r="S1345" s="52"/>
      <c r="T1345" s="52"/>
      <c r="U1345" s="52"/>
      <c r="V1345" s="52"/>
      <c r="W1345" s="52"/>
      <c r="X1345" s="52"/>
      <c r="Y1345" s="52"/>
      <c r="Z1345" s="52"/>
    </row>
    <row r="1346" spans="1:26" ht="15.75" customHeight="1">
      <c r="A1346" s="52"/>
      <c r="B1346" s="52"/>
      <c r="C1346" s="52"/>
      <c r="D1346" s="52"/>
      <c r="E1346" s="52"/>
      <c r="F1346" s="71"/>
      <c r="G1346" s="52"/>
      <c r="H1346" s="52"/>
      <c r="I1346" s="52"/>
      <c r="J1346" s="52"/>
      <c r="K1346" s="52"/>
      <c r="L1346" s="52"/>
      <c r="M1346" s="52"/>
      <c r="N1346" s="52"/>
      <c r="O1346" s="52"/>
      <c r="P1346" s="52"/>
      <c r="Q1346" s="52"/>
      <c r="R1346" s="52"/>
      <c r="S1346" s="52"/>
      <c r="T1346" s="52"/>
      <c r="U1346" s="52"/>
      <c r="V1346" s="52"/>
      <c r="W1346" s="52"/>
      <c r="X1346" s="52"/>
      <c r="Y1346" s="52"/>
      <c r="Z1346" s="52"/>
    </row>
    <row r="1347" spans="1:26" ht="15.75" customHeight="1">
      <c r="A1347" s="52"/>
      <c r="B1347" s="52"/>
      <c r="C1347" s="52"/>
      <c r="D1347" s="52"/>
      <c r="E1347" s="52"/>
      <c r="F1347" s="71"/>
      <c r="G1347" s="52"/>
      <c r="H1347" s="52"/>
      <c r="I1347" s="52"/>
      <c r="J1347" s="52"/>
      <c r="K1347" s="52"/>
      <c r="L1347" s="52"/>
      <c r="M1347" s="52"/>
      <c r="N1347" s="52"/>
      <c r="O1347" s="52"/>
      <c r="P1347" s="52"/>
      <c r="Q1347" s="52"/>
      <c r="R1347" s="52"/>
      <c r="S1347" s="52"/>
      <c r="T1347" s="52"/>
      <c r="U1347" s="52"/>
      <c r="V1347" s="52"/>
      <c r="W1347" s="52"/>
      <c r="X1347" s="52"/>
      <c r="Y1347" s="52"/>
      <c r="Z1347" s="52"/>
    </row>
    <row r="1348" spans="1:26" ht="15.75" customHeight="1">
      <c r="A1348" s="52"/>
      <c r="B1348" s="52"/>
      <c r="C1348" s="52"/>
      <c r="D1348" s="52"/>
      <c r="E1348" s="52"/>
      <c r="F1348" s="71"/>
      <c r="G1348" s="52"/>
      <c r="H1348" s="52"/>
      <c r="I1348" s="52"/>
      <c r="J1348" s="52"/>
      <c r="K1348" s="52"/>
      <c r="L1348" s="52"/>
      <c r="M1348" s="52"/>
      <c r="N1348" s="52"/>
      <c r="O1348" s="52"/>
      <c r="P1348" s="52"/>
      <c r="Q1348" s="52"/>
      <c r="R1348" s="52"/>
      <c r="S1348" s="52"/>
      <c r="T1348" s="52"/>
      <c r="U1348" s="52"/>
      <c r="V1348" s="52"/>
      <c r="W1348" s="52"/>
      <c r="X1348" s="52"/>
      <c r="Y1348" s="52"/>
      <c r="Z1348" s="52"/>
    </row>
    <row r="1349" spans="1:26" ht="15.75" customHeight="1">
      <c r="A1349" s="52"/>
      <c r="B1349" s="52"/>
      <c r="C1349" s="52"/>
      <c r="D1349" s="52"/>
      <c r="E1349" s="52"/>
      <c r="F1349" s="71"/>
      <c r="G1349" s="52"/>
      <c r="H1349" s="52"/>
      <c r="I1349" s="52"/>
      <c r="J1349" s="52"/>
      <c r="K1349" s="52"/>
      <c r="L1349" s="52"/>
      <c r="M1349" s="52"/>
      <c r="N1349" s="52"/>
      <c r="O1349" s="52"/>
      <c r="P1349" s="52"/>
      <c r="Q1349" s="52"/>
      <c r="R1349" s="52"/>
      <c r="S1349" s="52"/>
      <c r="T1349" s="52"/>
      <c r="U1349" s="52"/>
      <c r="V1349" s="52"/>
      <c r="W1349" s="52"/>
      <c r="X1349" s="52"/>
      <c r="Y1349" s="52"/>
      <c r="Z1349" s="52"/>
    </row>
    <row r="1350" spans="1:26" ht="15.75" customHeight="1">
      <c r="A1350" s="52"/>
      <c r="B1350" s="52"/>
      <c r="C1350" s="52"/>
      <c r="D1350" s="52"/>
      <c r="E1350" s="52"/>
      <c r="F1350" s="71"/>
      <c r="G1350" s="52"/>
      <c r="H1350" s="52"/>
      <c r="I1350" s="52"/>
      <c r="J1350" s="52"/>
      <c r="K1350" s="52"/>
      <c r="L1350" s="52"/>
      <c r="M1350" s="52"/>
      <c r="N1350" s="52"/>
      <c r="O1350" s="52"/>
      <c r="P1350" s="52"/>
      <c r="Q1350" s="52"/>
      <c r="R1350" s="52"/>
      <c r="S1350" s="52"/>
      <c r="T1350" s="52"/>
      <c r="U1350" s="52"/>
      <c r="V1350" s="52"/>
      <c r="W1350" s="52"/>
      <c r="X1350" s="52"/>
      <c r="Y1350" s="52"/>
      <c r="Z1350" s="52"/>
    </row>
    <row r="1351" spans="1:26" ht="15.75" customHeight="1">
      <c r="A1351" s="52"/>
      <c r="B1351" s="52"/>
      <c r="C1351" s="52"/>
      <c r="D1351" s="52"/>
      <c r="E1351" s="52"/>
      <c r="F1351" s="71"/>
      <c r="G1351" s="52"/>
      <c r="H1351" s="52"/>
      <c r="I1351" s="52"/>
      <c r="J1351" s="52"/>
      <c r="K1351" s="52"/>
      <c r="L1351" s="52"/>
      <c r="M1351" s="52"/>
      <c r="N1351" s="52"/>
      <c r="O1351" s="52"/>
      <c r="P1351" s="52"/>
      <c r="Q1351" s="52"/>
      <c r="R1351" s="52"/>
      <c r="S1351" s="52"/>
      <c r="T1351" s="52"/>
      <c r="U1351" s="52"/>
      <c r="V1351" s="52"/>
      <c r="W1351" s="52"/>
      <c r="X1351" s="52"/>
      <c r="Y1351" s="52"/>
      <c r="Z1351" s="52"/>
    </row>
    <row r="1352" spans="1:26" ht="15.75" customHeight="1">
      <c r="A1352" s="52"/>
      <c r="B1352" s="52"/>
      <c r="C1352" s="52"/>
      <c r="D1352" s="52"/>
      <c r="E1352" s="52"/>
      <c r="F1352" s="71"/>
      <c r="G1352" s="52"/>
      <c r="H1352" s="52"/>
      <c r="I1352" s="52"/>
      <c r="J1352" s="52"/>
      <c r="K1352" s="52"/>
      <c r="L1352" s="52"/>
      <c r="M1352" s="52"/>
      <c r="N1352" s="52"/>
      <c r="O1352" s="52"/>
      <c r="P1352" s="52"/>
      <c r="Q1352" s="52"/>
      <c r="R1352" s="52"/>
      <c r="S1352" s="52"/>
      <c r="T1352" s="52"/>
      <c r="U1352" s="52"/>
      <c r="V1352" s="52"/>
      <c r="W1352" s="52"/>
      <c r="X1352" s="52"/>
      <c r="Y1352" s="52"/>
      <c r="Z1352" s="52"/>
    </row>
    <row r="1353" spans="1:26" ht="15.75" customHeight="1">
      <c r="A1353" s="52"/>
      <c r="B1353" s="52"/>
      <c r="C1353" s="52"/>
      <c r="D1353" s="52"/>
      <c r="E1353" s="52"/>
      <c r="F1353" s="71"/>
      <c r="G1353" s="52"/>
      <c r="H1353" s="52"/>
      <c r="I1353" s="52"/>
      <c r="J1353" s="52"/>
      <c r="K1353" s="52"/>
      <c r="L1353" s="52"/>
      <c r="M1353" s="52"/>
      <c r="N1353" s="52"/>
      <c r="O1353" s="52"/>
      <c r="P1353" s="52"/>
      <c r="Q1353" s="52"/>
      <c r="R1353" s="52"/>
      <c r="S1353" s="52"/>
      <c r="T1353" s="52"/>
      <c r="U1353" s="52"/>
      <c r="V1353" s="52"/>
      <c r="W1353" s="52"/>
      <c r="X1353" s="52"/>
      <c r="Y1353" s="52"/>
      <c r="Z1353" s="52"/>
    </row>
    <row r="1354" spans="1:26" ht="15.75" customHeight="1">
      <c r="A1354" s="52"/>
      <c r="B1354" s="52"/>
      <c r="C1354" s="52"/>
      <c r="D1354" s="52"/>
      <c r="E1354" s="52"/>
      <c r="F1354" s="71"/>
      <c r="G1354" s="52"/>
      <c r="H1354" s="52"/>
      <c r="I1354" s="52"/>
      <c r="J1354" s="52"/>
      <c r="K1354" s="52"/>
      <c r="L1354" s="52"/>
      <c r="M1354" s="52"/>
      <c r="N1354" s="52"/>
      <c r="O1354" s="52"/>
      <c r="P1354" s="52"/>
      <c r="Q1354" s="52"/>
      <c r="R1354" s="52"/>
      <c r="S1354" s="52"/>
      <c r="T1354" s="52"/>
      <c r="U1354" s="52"/>
      <c r="V1354" s="52"/>
      <c r="W1354" s="52"/>
      <c r="X1354" s="52"/>
      <c r="Y1354" s="52"/>
      <c r="Z1354" s="52"/>
    </row>
    <row r="1355" spans="1:26" ht="15.75" customHeight="1">
      <c r="A1355" s="52"/>
      <c r="B1355" s="52"/>
      <c r="C1355" s="52"/>
      <c r="D1355" s="52"/>
      <c r="E1355" s="52"/>
      <c r="F1355" s="71"/>
      <c r="G1355" s="52"/>
      <c r="H1355" s="52"/>
      <c r="I1355" s="52"/>
      <c r="J1355" s="52"/>
      <c r="K1355" s="52"/>
      <c r="L1355" s="52"/>
      <c r="M1355" s="52"/>
      <c r="N1355" s="52"/>
      <c r="O1355" s="52"/>
      <c r="P1355" s="52"/>
      <c r="Q1355" s="52"/>
      <c r="R1355" s="52"/>
      <c r="S1355" s="52"/>
      <c r="T1355" s="52"/>
      <c r="U1355" s="52"/>
      <c r="V1355" s="52"/>
      <c r="W1355" s="52"/>
      <c r="X1355" s="52"/>
      <c r="Y1355" s="52"/>
      <c r="Z1355" s="52"/>
    </row>
    <row r="1356" spans="1:26" ht="15.75" customHeight="1">
      <c r="A1356" s="52"/>
      <c r="B1356" s="52"/>
      <c r="C1356" s="52"/>
      <c r="D1356" s="52"/>
      <c r="E1356" s="52"/>
      <c r="F1356" s="71"/>
      <c r="G1356" s="52"/>
      <c r="H1356" s="52"/>
      <c r="I1356" s="52"/>
      <c r="J1356" s="52"/>
      <c r="K1356" s="52"/>
      <c r="L1356" s="52"/>
      <c r="M1356" s="52"/>
      <c r="N1356" s="52"/>
      <c r="O1356" s="52"/>
      <c r="P1356" s="52"/>
      <c r="Q1356" s="52"/>
      <c r="R1356" s="52"/>
      <c r="S1356" s="52"/>
      <c r="T1356" s="52"/>
      <c r="U1356" s="52"/>
      <c r="V1356" s="52"/>
      <c r="W1356" s="52"/>
      <c r="X1356" s="52"/>
      <c r="Y1356" s="52"/>
      <c r="Z1356" s="52"/>
    </row>
    <row r="1357" spans="1:26" ht="15.75" customHeight="1">
      <c r="A1357" s="52"/>
      <c r="B1357" s="52"/>
      <c r="C1357" s="52"/>
      <c r="D1357" s="52"/>
      <c r="E1357" s="52"/>
      <c r="F1357" s="71"/>
      <c r="G1357" s="52"/>
      <c r="H1357" s="52"/>
      <c r="I1357" s="52"/>
      <c r="J1357" s="52"/>
      <c r="K1357" s="52"/>
      <c r="L1357" s="52"/>
      <c r="M1357" s="52"/>
      <c r="N1357" s="52"/>
      <c r="O1357" s="52"/>
      <c r="P1357" s="52"/>
      <c r="Q1357" s="52"/>
      <c r="R1357" s="52"/>
      <c r="S1357" s="52"/>
      <c r="T1357" s="52"/>
      <c r="U1357" s="52"/>
      <c r="V1357" s="52"/>
      <c r="W1357" s="52"/>
      <c r="X1357" s="52"/>
      <c r="Y1357" s="52"/>
      <c r="Z1357" s="52"/>
    </row>
    <row r="1358" spans="1:26" ht="15.75" customHeight="1">
      <c r="A1358" s="52"/>
      <c r="B1358" s="52"/>
      <c r="C1358" s="52"/>
      <c r="D1358" s="52"/>
      <c r="E1358" s="52"/>
      <c r="F1358" s="71"/>
      <c r="G1358" s="52"/>
      <c r="H1358" s="52"/>
      <c r="I1358" s="52"/>
      <c r="J1358" s="52"/>
      <c r="K1358" s="52"/>
      <c r="L1358" s="52"/>
      <c r="M1358" s="52"/>
      <c r="N1358" s="52"/>
      <c r="O1358" s="52"/>
      <c r="P1358" s="52"/>
      <c r="Q1358" s="52"/>
      <c r="R1358" s="52"/>
      <c r="S1358" s="52"/>
      <c r="T1358" s="52"/>
      <c r="U1358" s="52"/>
      <c r="V1358" s="52"/>
      <c r="W1358" s="52"/>
      <c r="X1358" s="52"/>
      <c r="Y1358" s="52"/>
      <c r="Z1358" s="52"/>
    </row>
    <row r="1359" spans="1:26" ht="15.75" customHeight="1">
      <c r="A1359" s="52"/>
      <c r="B1359" s="52"/>
      <c r="C1359" s="52"/>
      <c r="D1359" s="52"/>
      <c r="E1359" s="52"/>
      <c r="F1359" s="71"/>
      <c r="G1359" s="52"/>
      <c r="H1359" s="52"/>
      <c r="I1359" s="52"/>
      <c r="J1359" s="52"/>
      <c r="K1359" s="52"/>
      <c r="L1359" s="52"/>
      <c r="M1359" s="52"/>
      <c r="N1359" s="52"/>
      <c r="O1359" s="52"/>
      <c r="P1359" s="52"/>
      <c r="Q1359" s="52"/>
      <c r="R1359" s="52"/>
      <c r="S1359" s="52"/>
      <c r="T1359" s="52"/>
      <c r="U1359" s="52"/>
      <c r="V1359" s="52"/>
      <c r="W1359" s="52"/>
      <c r="X1359" s="52"/>
      <c r="Y1359" s="52"/>
      <c r="Z1359" s="52"/>
    </row>
    <row r="1360" spans="1:26" ht="15.75" customHeight="1">
      <c r="A1360" s="52"/>
      <c r="B1360" s="52"/>
      <c r="C1360" s="52"/>
      <c r="D1360" s="52"/>
      <c r="E1360" s="52"/>
      <c r="F1360" s="71"/>
      <c r="G1360" s="52"/>
      <c r="H1360" s="52"/>
      <c r="I1360" s="52"/>
      <c r="J1360" s="52"/>
      <c r="K1360" s="52"/>
      <c r="L1360" s="52"/>
      <c r="M1360" s="52"/>
      <c r="N1360" s="52"/>
      <c r="O1360" s="52"/>
      <c r="P1360" s="52"/>
      <c r="Q1360" s="52"/>
      <c r="R1360" s="52"/>
      <c r="S1360" s="52"/>
      <c r="T1360" s="52"/>
      <c r="U1360" s="52"/>
      <c r="V1360" s="52"/>
      <c r="W1360" s="52"/>
      <c r="X1360" s="52"/>
      <c r="Y1360" s="52"/>
      <c r="Z1360" s="52"/>
    </row>
    <row r="1361" spans="1:26" ht="15.75" customHeight="1">
      <c r="A1361" s="52"/>
      <c r="B1361" s="52"/>
      <c r="C1361" s="52"/>
      <c r="D1361" s="52"/>
      <c r="E1361" s="52"/>
      <c r="F1361" s="71"/>
      <c r="G1361" s="52"/>
      <c r="H1361" s="52"/>
      <c r="I1361" s="52"/>
      <c r="J1361" s="52"/>
      <c r="K1361" s="52"/>
      <c r="L1361" s="52"/>
      <c r="M1361" s="52"/>
      <c r="N1361" s="52"/>
      <c r="O1361" s="52"/>
      <c r="P1361" s="52"/>
      <c r="Q1361" s="52"/>
      <c r="R1361" s="52"/>
      <c r="S1361" s="52"/>
      <c r="T1361" s="52"/>
      <c r="U1361" s="52"/>
      <c r="V1361" s="52"/>
      <c r="W1361" s="52"/>
      <c r="X1361" s="52"/>
      <c r="Y1361" s="52"/>
      <c r="Z1361" s="52"/>
    </row>
    <row r="1362" spans="1:26" ht="15.75" customHeight="1">
      <c r="A1362" s="52"/>
      <c r="B1362" s="52"/>
      <c r="C1362" s="52"/>
      <c r="D1362" s="52"/>
      <c r="E1362" s="52"/>
      <c r="F1362" s="71"/>
      <c r="G1362" s="52"/>
      <c r="H1362" s="52"/>
      <c r="I1362" s="52"/>
      <c r="J1362" s="52"/>
      <c r="K1362" s="52"/>
      <c r="L1362" s="52"/>
      <c r="M1362" s="52"/>
      <c r="N1362" s="52"/>
      <c r="O1362" s="52"/>
      <c r="P1362" s="52"/>
      <c r="Q1362" s="52"/>
      <c r="R1362" s="52"/>
      <c r="S1362" s="52"/>
      <c r="T1362" s="52"/>
      <c r="U1362" s="52"/>
      <c r="V1362" s="52"/>
      <c r="W1362" s="52"/>
      <c r="X1362" s="52"/>
      <c r="Y1362" s="52"/>
      <c r="Z1362" s="52"/>
    </row>
    <row r="1363" spans="1:26" ht="15.75" customHeight="1">
      <c r="A1363" s="52"/>
      <c r="B1363" s="52"/>
      <c r="C1363" s="52"/>
      <c r="D1363" s="52"/>
      <c r="E1363" s="52"/>
      <c r="F1363" s="71"/>
      <c r="G1363" s="52"/>
      <c r="H1363" s="52"/>
      <c r="I1363" s="52"/>
      <c r="J1363" s="52"/>
      <c r="K1363" s="52"/>
      <c r="L1363" s="52"/>
      <c r="M1363" s="52"/>
      <c r="N1363" s="52"/>
      <c r="O1363" s="52"/>
      <c r="P1363" s="52"/>
      <c r="Q1363" s="52"/>
      <c r="R1363" s="52"/>
      <c r="S1363" s="52"/>
      <c r="T1363" s="52"/>
      <c r="U1363" s="52"/>
      <c r="V1363" s="52"/>
      <c r="W1363" s="52"/>
      <c r="X1363" s="52"/>
      <c r="Y1363" s="52"/>
      <c r="Z1363" s="52"/>
    </row>
    <row r="1364" spans="1:26" ht="15.75" customHeight="1">
      <c r="A1364" s="52"/>
      <c r="B1364" s="52"/>
      <c r="C1364" s="52"/>
      <c r="D1364" s="52"/>
      <c r="E1364" s="52"/>
      <c r="F1364" s="71"/>
      <c r="G1364" s="52"/>
      <c r="H1364" s="52"/>
      <c r="I1364" s="52"/>
      <c r="J1364" s="52"/>
      <c r="K1364" s="52"/>
      <c r="L1364" s="52"/>
      <c r="M1364" s="52"/>
      <c r="N1364" s="52"/>
      <c r="O1364" s="52"/>
      <c r="P1364" s="52"/>
      <c r="Q1364" s="52"/>
      <c r="R1364" s="52"/>
      <c r="S1364" s="52"/>
      <c r="T1364" s="52"/>
      <c r="U1364" s="52"/>
      <c r="V1364" s="52"/>
      <c r="W1364" s="52"/>
      <c r="X1364" s="52"/>
      <c r="Y1364" s="52"/>
      <c r="Z1364" s="52"/>
    </row>
    <row r="1365" spans="1:26" ht="15.75" customHeight="1">
      <c r="A1365" s="52"/>
      <c r="B1365" s="52"/>
      <c r="C1365" s="52"/>
      <c r="D1365" s="52"/>
      <c r="E1365" s="52"/>
      <c r="F1365" s="71"/>
      <c r="G1365" s="52"/>
      <c r="H1365" s="52"/>
      <c r="I1365" s="52"/>
      <c r="J1365" s="52"/>
      <c r="K1365" s="52"/>
      <c r="L1365" s="52"/>
      <c r="M1365" s="52"/>
      <c r="N1365" s="52"/>
      <c r="O1365" s="52"/>
      <c r="P1365" s="52"/>
      <c r="Q1365" s="52"/>
      <c r="R1365" s="52"/>
      <c r="S1365" s="52"/>
      <c r="T1365" s="52"/>
      <c r="U1365" s="52"/>
      <c r="V1365" s="52"/>
      <c r="W1365" s="52"/>
      <c r="X1365" s="52"/>
      <c r="Y1365" s="52"/>
      <c r="Z1365" s="52"/>
    </row>
    <row r="1366" spans="1:26" ht="15.75" customHeight="1">
      <c r="A1366" s="52"/>
      <c r="B1366" s="52"/>
      <c r="C1366" s="52"/>
      <c r="D1366" s="52"/>
      <c r="E1366" s="52"/>
      <c r="F1366" s="71"/>
      <c r="G1366" s="52"/>
      <c r="H1366" s="52"/>
      <c r="I1366" s="52"/>
      <c r="J1366" s="52"/>
      <c r="K1366" s="52"/>
      <c r="L1366" s="52"/>
      <c r="M1366" s="52"/>
      <c r="N1366" s="52"/>
      <c r="O1366" s="52"/>
      <c r="P1366" s="52"/>
      <c r="Q1366" s="52"/>
      <c r="R1366" s="52"/>
      <c r="S1366" s="52"/>
      <c r="T1366" s="52"/>
      <c r="U1366" s="52"/>
      <c r="V1366" s="52"/>
      <c r="W1366" s="52"/>
      <c r="X1366" s="52"/>
      <c r="Y1366" s="52"/>
      <c r="Z1366" s="52"/>
    </row>
    <row r="1367" spans="1:26" ht="15.75" customHeight="1">
      <c r="A1367" s="52"/>
      <c r="B1367" s="52"/>
      <c r="C1367" s="52"/>
      <c r="D1367" s="52"/>
      <c r="E1367" s="52"/>
      <c r="F1367" s="71"/>
      <c r="G1367" s="52"/>
      <c r="H1367" s="52"/>
      <c r="I1367" s="52"/>
      <c r="J1367" s="52"/>
      <c r="K1367" s="52"/>
      <c r="L1367" s="52"/>
      <c r="M1367" s="52"/>
      <c r="N1367" s="52"/>
      <c r="O1367" s="52"/>
      <c r="P1367" s="52"/>
      <c r="Q1367" s="52"/>
      <c r="R1367" s="52"/>
      <c r="S1367" s="52"/>
      <c r="T1367" s="52"/>
      <c r="U1367" s="52"/>
      <c r="V1367" s="52"/>
      <c r="W1367" s="52"/>
      <c r="X1367" s="52"/>
      <c r="Y1367" s="52"/>
      <c r="Z1367" s="52"/>
    </row>
    <row r="1368" spans="1:26" ht="15.75" customHeight="1">
      <c r="A1368" s="52"/>
      <c r="B1368" s="52"/>
      <c r="C1368" s="52"/>
      <c r="D1368" s="52"/>
      <c r="E1368" s="52"/>
      <c r="F1368" s="71"/>
      <c r="G1368" s="52"/>
      <c r="H1368" s="52"/>
      <c r="I1368" s="52"/>
      <c r="J1368" s="52"/>
      <c r="K1368" s="52"/>
      <c r="L1368" s="52"/>
      <c r="M1368" s="52"/>
      <c r="N1368" s="52"/>
      <c r="O1368" s="52"/>
      <c r="P1368" s="52"/>
      <c r="Q1368" s="52"/>
      <c r="R1368" s="52"/>
      <c r="S1368" s="52"/>
      <c r="T1368" s="52"/>
      <c r="U1368" s="52"/>
      <c r="V1368" s="52"/>
      <c r="W1368" s="52"/>
      <c r="X1368" s="52"/>
      <c r="Y1368" s="52"/>
      <c r="Z1368" s="52"/>
    </row>
    <row r="1369" spans="1:26" ht="15.75" customHeight="1">
      <c r="A1369" s="52"/>
      <c r="B1369" s="52"/>
      <c r="C1369" s="52"/>
      <c r="D1369" s="52"/>
      <c r="E1369" s="52"/>
      <c r="F1369" s="71"/>
      <c r="G1369" s="52"/>
      <c r="H1369" s="52"/>
      <c r="I1369" s="52"/>
      <c r="J1369" s="52"/>
      <c r="K1369" s="52"/>
      <c r="L1369" s="52"/>
      <c r="M1369" s="52"/>
      <c r="N1369" s="52"/>
      <c r="O1369" s="52"/>
      <c r="P1369" s="52"/>
      <c r="Q1369" s="52"/>
      <c r="R1369" s="52"/>
      <c r="S1369" s="52"/>
      <c r="T1369" s="52"/>
      <c r="U1369" s="52"/>
      <c r="V1369" s="52"/>
      <c r="W1369" s="52"/>
      <c r="X1369" s="52"/>
      <c r="Y1369" s="52"/>
      <c r="Z1369" s="52"/>
    </row>
    <row r="1370" spans="1:26" ht="15.75" customHeight="1">
      <c r="A1370" s="52"/>
      <c r="B1370" s="52"/>
      <c r="C1370" s="52"/>
      <c r="D1370" s="52"/>
      <c r="E1370" s="52"/>
      <c r="F1370" s="71"/>
      <c r="G1370" s="52"/>
      <c r="H1370" s="52"/>
      <c r="I1370" s="52"/>
      <c r="J1370" s="52"/>
      <c r="K1370" s="52"/>
      <c r="L1370" s="52"/>
      <c r="M1370" s="52"/>
      <c r="N1370" s="52"/>
      <c r="O1370" s="52"/>
      <c r="P1370" s="52"/>
      <c r="Q1370" s="52"/>
      <c r="R1370" s="52"/>
      <c r="S1370" s="52"/>
      <c r="T1370" s="52"/>
      <c r="U1370" s="52"/>
      <c r="V1370" s="52"/>
      <c r="W1370" s="52"/>
      <c r="X1370" s="52"/>
      <c r="Y1370" s="52"/>
      <c r="Z1370" s="52"/>
    </row>
    <row r="1371" spans="1:26" ht="15.75" customHeight="1">
      <c r="A1371" s="52"/>
      <c r="B1371" s="52"/>
      <c r="C1371" s="52"/>
      <c r="D1371" s="52"/>
      <c r="E1371" s="52"/>
      <c r="F1371" s="71"/>
      <c r="G1371" s="52"/>
      <c r="H1371" s="52"/>
      <c r="I1371" s="52"/>
      <c r="J1371" s="52"/>
      <c r="K1371" s="52"/>
      <c r="L1371" s="52"/>
      <c r="M1371" s="52"/>
      <c r="N1371" s="52"/>
      <c r="O1371" s="52"/>
      <c r="P1371" s="52"/>
      <c r="Q1371" s="52"/>
      <c r="R1371" s="52"/>
      <c r="S1371" s="52"/>
      <c r="T1371" s="52"/>
      <c r="U1371" s="52"/>
      <c r="V1371" s="52"/>
      <c r="W1371" s="52"/>
      <c r="X1371" s="52"/>
      <c r="Y1371" s="52"/>
      <c r="Z1371" s="52"/>
    </row>
    <row r="1372" spans="1:26" ht="15.75" customHeight="1">
      <c r="A1372" s="52"/>
      <c r="B1372" s="52"/>
      <c r="C1372" s="52"/>
      <c r="D1372" s="52"/>
      <c r="E1372" s="52"/>
      <c r="F1372" s="71"/>
      <c r="G1372" s="52"/>
      <c r="H1372" s="52"/>
      <c r="I1372" s="52"/>
      <c r="J1372" s="52"/>
      <c r="K1372" s="52"/>
      <c r="L1372" s="52"/>
      <c r="M1372" s="52"/>
      <c r="N1372" s="52"/>
      <c r="O1372" s="52"/>
      <c r="P1372" s="52"/>
      <c r="Q1372" s="52"/>
      <c r="R1372" s="52"/>
      <c r="S1372" s="52"/>
      <c r="T1372" s="52"/>
      <c r="U1372" s="52"/>
      <c r="V1372" s="52"/>
      <c r="W1372" s="52"/>
      <c r="X1372" s="52"/>
      <c r="Y1372" s="52"/>
      <c r="Z1372" s="52"/>
    </row>
    <row r="1373" spans="1:26" ht="15.75" customHeight="1">
      <c r="A1373" s="52"/>
      <c r="B1373" s="52"/>
      <c r="C1373" s="52"/>
      <c r="D1373" s="52"/>
      <c r="E1373" s="52"/>
      <c r="F1373" s="71"/>
      <c r="G1373" s="52"/>
      <c r="H1373" s="52"/>
      <c r="I1373" s="52"/>
      <c r="J1373" s="52"/>
      <c r="K1373" s="52"/>
      <c r="L1373" s="52"/>
      <c r="M1373" s="52"/>
      <c r="N1373" s="52"/>
      <c r="O1373" s="52"/>
      <c r="P1373" s="52"/>
      <c r="Q1373" s="52"/>
      <c r="R1373" s="52"/>
      <c r="S1373" s="52"/>
      <c r="T1373" s="52"/>
      <c r="U1373" s="52"/>
      <c r="V1373" s="52"/>
      <c r="W1373" s="52"/>
      <c r="X1373" s="52"/>
      <c r="Y1373" s="52"/>
      <c r="Z1373" s="52"/>
    </row>
    <row r="1374" spans="1:26" ht="15.75" customHeight="1">
      <c r="A1374" s="52"/>
      <c r="B1374" s="52"/>
      <c r="C1374" s="52"/>
      <c r="D1374" s="52"/>
      <c r="E1374" s="52"/>
      <c r="F1374" s="71"/>
      <c r="G1374" s="52"/>
      <c r="H1374" s="52"/>
      <c r="I1374" s="52"/>
      <c r="J1374" s="52"/>
      <c r="K1374" s="52"/>
      <c r="L1374" s="52"/>
      <c r="M1374" s="52"/>
      <c r="N1374" s="52"/>
      <c r="O1374" s="52"/>
      <c r="P1374" s="52"/>
      <c r="Q1374" s="52"/>
      <c r="R1374" s="52"/>
      <c r="S1374" s="52"/>
      <c r="T1374" s="52"/>
      <c r="U1374" s="52"/>
      <c r="V1374" s="52"/>
      <c r="W1374" s="52"/>
      <c r="X1374" s="52"/>
      <c r="Y1374" s="52"/>
      <c r="Z1374" s="52"/>
    </row>
    <row r="1375" spans="1:26" ht="15.75" customHeight="1">
      <c r="A1375" s="52"/>
      <c r="B1375" s="52"/>
      <c r="C1375" s="52"/>
      <c r="D1375" s="52"/>
      <c r="E1375" s="52"/>
      <c r="F1375" s="71"/>
      <c r="G1375" s="52"/>
      <c r="H1375" s="52"/>
      <c r="I1375" s="52"/>
      <c r="J1375" s="52"/>
      <c r="K1375" s="52"/>
      <c r="L1375" s="52"/>
      <c r="M1375" s="52"/>
      <c r="N1375" s="52"/>
      <c r="O1375" s="52"/>
      <c r="P1375" s="52"/>
      <c r="Q1375" s="52"/>
      <c r="R1375" s="52"/>
      <c r="S1375" s="52"/>
      <c r="T1375" s="52"/>
      <c r="U1375" s="52"/>
      <c r="V1375" s="52"/>
      <c r="W1375" s="52"/>
      <c r="X1375" s="52"/>
      <c r="Y1375" s="52"/>
      <c r="Z1375" s="52"/>
    </row>
    <row r="1376" spans="1:26" ht="15.75" customHeight="1">
      <c r="A1376" s="52"/>
      <c r="B1376" s="52"/>
      <c r="C1376" s="52"/>
      <c r="D1376" s="52"/>
      <c r="E1376" s="52"/>
      <c r="F1376" s="71"/>
      <c r="G1376" s="52"/>
      <c r="H1376" s="52"/>
      <c r="I1376" s="52"/>
      <c r="J1376" s="52"/>
      <c r="K1376" s="52"/>
      <c r="L1376" s="52"/>
      <c r="M1376" s="52"/>
      <c r="N1376" s="52"/>
      <c r="O1376" s="52"/>
      <c r="P1376" s="52"/>
      <c r="Q1376" s="52"/>
      <c r="R1376" s="52"/>
      <c r="S1376" s="52"/>
      <c r="T1376" s="52"/>
      <c r="U1376" s="52"/>
      <c r="V1376" s="52"/>
      <c r="W1376" s="52"/>
      <c r="X1376" s="52"/>
      <c r="Y1376" s="52"/>
      <c r="Z1376" s="52"/>
    </row>
    <row r="1377" spans="1:26" ht="15.75" customHeight="1">
      <c r="A1377" s="52"/>
      <c r="B1377" s="52"/>
      <c r="C1377" s="52"/>
      <c r="D1377" s="52"/>
      <c r="E1377" s="52"/>
      <c r="F1377" s="71"/>
      <c r="G1377" s="52"/>
      <c r="H1377" s="52"/>
      <c r="I1377" s="52"/>
      <c r="J1377" s="52"/>
      <c r="K1377" s="52"/>
      <c r="L1377" s="52"/>
      <c r="M1377" s="52"/>
      <c r="N1377" s="52"/>
      <c r="O1377" s="52"/>
      <c r="P1377" s="52"/>
      <c r="Q1377" s="52"/>
      <c r="R1377" s="52"/>
      <c r="S1377" s="52"/>
      <c r="T1377" s="52"/>
      <c r="U1377" s="52"/>
      <c r="V1377" s="52"/>
      <c r="W1377" s="52"/>
      <c r="X1377" s="52"/>
      <c r="Y1377" s="52"/>
      <c r="Z1377" s="52"/>
    </row>
    <row r="1378" spans="1:26" ht="15.75" customHeight="1">
      <c r="A1378" s="52"/>
      <c r="B1378" s="52"/>
      <c r="C1378" s="52"/>
      <c r="D1378" s="52"/>
      <c r="E1378" s="52"/>
      <c r="F1378" s="71"/>
      <c r="G1378" s="52"/>
      <c r="H1378" s="52"/>
      <c r="I1378" s="52"/>
      <c r="J1378" s="52"/>
      <c r="K1378" s="52"/>
      <c r="L1378" s="52"/>
      <c r="M1378" s="52"/>
      <c r="N1378" s="52"/>
      <c r="O1378" s="52"/>
      <c r="P1378" s="52"/>
      <c r="Q1378" s="52"/>
      <c r="R1378" s="52"/>
      <c r="S1378" s="52"/>
      <c r="T1378" s="52"/>
      <c r="U1378" s="52"/>
      <c r="V1378" s="52"/>
      <c r="W1378" s="52"/>
      <c r="X1378" s="52"/>
      <c r="Y1378" s="52"/>
      <c r="Z1378" s="52"/>
    </row>
    <row r="1379" spans="1:26" ht="15.75" customHeight="1">
      <c r="A1379" s="52"/>
      <c r="B1379" s="52"/>
      <c r="C1379" s="52"/>
      <c r="D1379" s="52"/>
      <c r="E1379" s="52"/>
      <c r="F1379" s="71"/>
      <c r="G1379" s="52"/>
      <c r="H1379" s="52"/>
      <c r="I1379" s="52"/>
      <c r="J1379" s="52"/>
      <c r="K1379" s="52"/>
      <c r="L1379" s="52"/>
      <c r="M1379" s="52"/>
      <c r="N1379" s="52"/>
      <c r="O1379" s="52"/>
      <c r="P1379" s="52"/>
      <c r="Q1379" s="52"/>
      <c r="R1379" s="52"/>
      <c r="S1379" s="52"/>
      <c r="T1379" s="52"/>
      <c r="U1379" s="52"/>
      <c r="V1379" s="52"/>
      <c r="W1379" s="52"/>
      <c r="X1379" s="52"/>
      <c r="Y1379" s="52"/>
      <c r="Z1379" s="52"/>
    </row>
    <row r="1380" spans="1:26" ht="15.75" customHeight="1">
      <c r="A1380" s="52"/>
      <c r="B1380" s="52"/>
      <c r="C1380" s="52"/>
      <c r="D1380" s="52"/>
      <c r="E1380" s="52"/>
      <c r="F1380" s="71"/>
      <c r="G1380" s="52"/>
      <c r="H1380" s="52"/>
      <c r="I1380" s="52"/>
      <c r="J1380" s="52"/>
      <c r="K1380" s="52"/>
      <c r="L1380" s="52"/>
      <c r="M1380" s="52"/>
      <c r="N1380" s="52"/>
      <c r="O1380" s="52"/>
      <c r="P1380" s="52"/>
      <c r="Q1380" s="52"/>
      <c r="R1380" s="52"/>
      <c r="S1380" s="52"/>
      <c r="T1380" s="52"/>
      <c r="U1380" s="52"/>
      <c r="V1380" s="52"/>
      <c r="W1380" s="52"/>
      <c r="X1380" s="52"/>
      <c r="Y1380" s="52"/>
      <c r="Z1380" s="52"/>
    </row>
    <row r="1381" spans="1:26" ht="15.75" customHeight="1">
      <c r="A1381" s="52"/>
      <c r="B1381" s="52"/>
      <c r="C1381" s="52"/>
      <c r="D1381" s="52"/>
      <c r="E1381" s="52"/>
      <c r="F1381" s="71"/>
      <c r="G1381" s="52"/>
      <c r="H1381" s="52"/>
      <c r="I1381" s="52"/>
      <c r="J1381" s="52"/>
      <c r="K1381" s="52"/>
      <c r="L1381" s="52"/>
      <c r="M1381" s="52"/>
      <c r="N1381" s="52"/>
      <c r="O1381" s="52"/>
      <c r="P1381" s="52"/>
      <c r="Q1381" s="52"/>
      <c r="R1381" s="52"/>
      <c r="S1381" s="52"/>
      <c r="T1381" s="52"/>
      <c r="U1381" s="52"/>
      <c r="V1381" s="52"/>
      <c r="W1381" s="52"/>
      <c r="X1381" s="52"/>
      <c r="Y1381" s="52"/>
      <c r="Z1381" s="52"/>
    </row>
    <row r="1382" spans="1:26" ht="15.75" customHeight="1">
      <c r="A1382" s="52"/>
      <c r="B1382" s="52"/>
      <c r="C1382" s="52"/>
      <c r="D1382" s="52"/>
      <c r="E1382" s="52"/>
      <c r="F1382" s="71"/>
      <c r="G1382" s="52"/>
      <c r="H1382" s="52"/>
      <c r="I1382" s="52"/>
      <c r="J1382" s="52"/>
      <c r="K1382" s="52"/>
      <c r="L1382" s="52"/>
      <c r="M1382" s="52"/>
      <c r="N1382" s="52"/>
      <c r="O1382" s="52"/>
      <c r="P1382" s="52"/>
      <c r="Q1382" s="52"/>
      <c r="R1382" s="52"/>
      <c r="S1382" s="52"/>
      <c r="T1382" s="52"/>
      <c r="U1382" s="52"/>
      <c r="V1382" s="52"/>
      <c r="W1382" s="52"/>
      <c r="X1382" s="52"/>
      <c r="Y1382" s="52"/>
      <c r="Z1382" s="52"/>
    </row>
    <row r="1383" spans="1:26" ht="15.75" customHeight="1">
      <c r="A1383" s="52"/>
      <c r="B1383" s="52"/>
      <c r="C1383" s="52"/>
      <c r="D1383" s="52"/>
      <c r="E1383" s="52"/>
      <c r="F1383" s="71"/>
      <c r="G1383" s="52"/>
      <c r="H1383" s="52"/>
      <c r="I1383" s="52"/>
      <c r="J1383" s="52"/>
      <c r="K1383" s="52"/>
      <c r="L1383" s="52"/>
      <c r="M1383" s="52"/>
      <c r="N1383" s="52"/>
      <c r="O1383" s="52"/>
      <c r="P1383" s="52"/>
      <c r="Q1383" s="52"/>
      <c r="R1383" s="52"/>
      <c r="S1383" s="52"/>
      <c r="T1383" s="52"/>
      <c r="U1383" s="52"/>
      <c r="V1383" s="52"/>
      <c r="W1383" s="52"/>
      <c r="X1383" s="52"/>
      <c r="Y1383" s="52"/>
      <c r="Z1383" s="52"/>
    </row>
    <row r="1384" spans="1:26" ht="15.75" customHeight="1">
      <c r="A1384" s="52"/>
      <c r="B1384" s="52"/>
      <c r="C1384" s="52"/>
      <c r="D1384" s="52"/>
      <c r="E1384" s="52"/>
      <c r="F1384" s="71"/>
      <c r="G1384" s="52"/>
      <c r="H1384" s="52"/>
      <c r="I1384" s="52"/>
      <c r="J1384" s="52"/>
      <c r="K1384" s="52"/>
      <c r="L1384" s="52"/>
      <c r="M1384" s="52"/>
      <c r="N1384" s="52"/>
      <c r="O1384" s="52"/>
      <c r="P1384" s="52"/>
      <c r="Q1384" s="52"/>
      <c r="R1384" s="52"/>
      <c r="S1384" s="52"/>
      <c r="T1384" s="52"/>
      <c r="U1384" s="52"/>
      <c r="V1384" s="52"/>
      <c r="W1384" s="52"/>
      <c r="X1384" s="52"/>
      <c r="Y1384" s="52"/>
      <c r="Z1384" s="52"/>
    </row>
    <row r="1385" spans="1:26" ht="15.75" customHeight="1">
      <c r="A1385" s="52"/>
      <c r="B1385" s="52"/>
      <c r="C1385" s="52"/>
      <c r="D1385" s="52"/>
      <c r="E1385" s="52"/>
      <c r="F1385" s="71"/>
      <c r="G1385" s="52"/>
      <c r="H1385" s="52"/>
      <c r="I1385" s="52"/>
      <c r="J1385" s="52"/>
      <c r="K1385" s="52"/>
      <c r="L1385" s="52"/>
      <c r="M1385" s="52"/>
      <c r="N1385" s="52"/>
      <c r="O1385" s="52"/>
      <c r="P1385" s="52"/>
      <c r="Q1385" s="52"/>
      <c r="R1385" s="52"/>
      <c r="S1385" s="52"/>
      <c r="T1385" s="52"/>
      <c r="U1385" s="52"/>
      <c r="V1385" s="52"/>
      <c r="W1385" s="52"/>
      <c r="X1385" s="52"/>
      <c r="Y1385" s="52"/>
      <c r="Z1385" s="52"/>
    </row>
    <row r="1386" spans="1:26" ht="15.75" customHeight="1">
      <c r="A1386" s="52"/>
      <c r="B1386" s="52"/>
      <c r="C1386" s="52"/>
      <c r="D1386" s="52"/>
      <c r="E1386" s="52"/>
      <c r="F1386" s="71"/>
      <c r="G1386" s="52"/>
      <c r="H1386" s="52"/>
      <c r="I1386" s="52"/>
      <c r="J1386" s="52"/>
      <c r="K1386" s="52"/>
      <c r="L1386" s="52"/>
      <c r="M1386" s="52"/>
      <c r="N1386" s="52"/>
      <c r="O1386" s="52"/>
      <c r="P1386" s="52"/>
      <c r="Q1386" s="52"/>
      <c r="R1386" s="52"/>
      <c r="S1386" s="52"/>
      <c r="T1386" s="52"/>
      <c r="U1386" s="52"/>
      <c r="V1386" s="52"/>
      <c r="W1386" s="52"/>
      <c r="X1386" s="52"/>
      <c r="Y1386" s="52"/>
      <c r="Z1386" s="52"/>
    </row>
    <row r="1387" spans="1:26" ht="15.75" customHeight="1">
      <c r="A1387" s="52"/>
      <c r="B1387" s="52"/>
      <c r="C1387" s="52"/>
      <c r="D1387" s="52"/>
      <c r="E1387" s="52"/>
      <c r="F1387" s="71"/>
      <c r="G1387" s="52"/>
      <c r="H1387" s="52"/>
      <c r="I1387" s="52"/>
      <c r="J1387" s="52"/>
      <c r="K1387" s="52"/>
      <c r="L1387" s="52"/>
      <c r="M1387" s="52"/>
      <c r="N1387" s="52"/>
      <c r="O1387" s="52"/>
      <c r="P1387" s="52"/>
      <c r="Q1387" s="52"/>
      <c r="R1387" s="52"/>
      <c r="S1387" s="52"/>
      <c r="T1387" s="52"/>
      <c r="U1387" s="52"/>
      <c r="V1387" s="52"/>
      <c r="W1387" s="52"/>
      <c r="X1387" s="52"/>
      <c r="Y1387" s="52"/>
      <c r="Z1387" s="52"/>
    </row>
    <row r="1388" spans="1:26" ht="15.75" customHeight="1">
      <c r="A1388" s="52"/>
      <c r="B1388" s="52"/>
      <c r="C1388" s="52"/>
      <c r="D1388" s="52"/>
      <c r="E1388" s="52"/>
      <c r="F1388" s="71"/>
      <c r="G1388" s="52"/>
      <c r="H1388" s="52"/>
      <c r="I1388" s="52"/>
      <c r="J1388" s="52"/>
      <c r="K1388" s="52"/>
      <c r="L1388" s="52"/>
      <c r="M1388" s="52"/>
      <c r="N1388" s="52"/>
      <c r="O1388" s="52"/>
      <c r="P1388" s="52"/>
      <c r="Q1388" s="52"/>
      <c r="R1388" s="52"/>
      <c r="S1388" s="52"/>
      <c r="T1388" s="52"/>
      <c r="U1388" s="52"/>
      <c r="V1388" s="52"/>
      <c r="W1388" s="52"/>
      <c r="X1388" s="52"/>
      <c r="Y1388" s="52"/>
      <c r="Z1388" s="52"/>
    </row>
    <row r="1389" spans="1:26" ht="15.75" customHeight="1">
      <c r="A1389" s="52"/>
      <c r="B1389" s="52"/>
      <c r="C1389" s="52"/>
      <c r="D1389" s="52"/>
      <c r="E1389" s="52"/>
      <c r="F1389" s="71"/>
      <c r="G1389" s="52"/>
      <c r="H1389" s="52"/>
      <c r="I1389" s="52"/>
      <c r="J1389" s="52"/>
      <c r="K1389" s="52"/>
      <c r="L1389" s="52"/>
      <c r="M1389" s="52"/>
      <c r="N1389" s="52"/>
      <c r="O1389" s="52"/>
      <c r="P1389" s="52"/>
      <c r="Q1389" s="52"/>
      <c r="R1389" s="52"/>
      <c r="S1389" s="52"/>
      <c r="T1389" s="52"/>
      <c r="U1389" s="52"/>
      <c r="V1389" s="52"/>
      <c r="W1389" s="52"/>
      <c r="X1389" s="52"/>
      <c r="Y1389" s="52"/>
      <c r="Z1389" s="52"/>
    </row>
    <row r="1390" spans="1:26" ht="15.75" customHeight="1">
      <c r="A1390" s="52"/>
      <c r="B1390" s="52"/>
      <c r="C1390" s="52"/>
      <c r="D1390" s="52"/>
      <c r="E1390" s="52"/>
      <c r="F1390" s="71"/>
      <c r="G1390" s="52"/>
      <c r="H1390" s="52"/>
      <c r="I1390" s="52"/>
      <c r="J1390" s="52"/>
      <c r="K1390" s="52"/>
      <c r="L1390" s="52"/>
      <c r="M1390" s="52"/>
      <c r="N1390" s="52"/>
      <c r="O1390" s="52"/>
      <c r="P1390" s="52"/>
      <c r="Q1390" s="52"/>
      <c r="R1390" s="52"/>
      <c r="S1390" s="52"/>
      <c r="T1390" s="52"/>
      <c r="U1390" s="52"/>
      <c r="V1390" s="52"/>
      <c r="W1390" s="52"/>
      <c r="X1390" s="52"/>
      <c r="Y1390" s="52"/>
      <c r="Z1390" s="52"/>
    </row>
    <row r="1391" spans="1:26" ht="15.75" customHeight="1">
      <c r="A1391" s="52"/>
      <c r="B1391" s="52"/>
      <c r="C1391" s="52"/>
      <c r="D1391" s="52"/>
      <c r="E1391" s="52"/>
      <c r="F1391" s="71"/>
      <c r="G1391" s="52"/>
      <c r="H1391" s="52"/>
      <c r="I1391" s="52"/>
      <c r="J1391" s="52"/>
      <c r="K1391" s="52"/>
      <c r="L1391" s="52"/>
      <c r="M1391" s="52"/>
      <c r="N1391" s="52"/>
      <c r="O1391" s="52"/>
      <c r="P1391" s="52"/>
      <c r="Q1391" s="52"/>
      <c r="R1391" s="52"/>
      <c r="S1391" s="52"/>
      <c r="T1391" s="52"/>
      <c r="U1391" s="52"/>
      <c r="V1391" s="52"/>
      <c r="W1391" s="52"/>
      <c r="X1391" s="52"/>
      <c r="Y1391" s="52"/>
      <c r="Z1391" s="52"/>
    </row>
    <row r="1392" spans="1:26" ht="15.75" customHeight="1">
      <c r="A1392" s="52"/>
      <c r="B1392" s="52"/>
      <c r="C1392" s="52"/>
      <c r="D1392" s="52"/>
      <c r="E1392" s="52"/>
      <c r="F1392" s="71"/>
      <c r="G1392" s="52"/>
      <c r="H1392" s="52"/>
      <c r="I1392" s="52"/>
      <c r="J1392" s="52"/>
      <c r="K1392" s="52"/>
      <c r="L1392" s="52"/>
      <c r="M1392" s="52"/>
      <c r="N1392" s="52"/>
      <c r="O1392" s="52"/>
      <c r="P1392" s="52"/>
      <c r="Q1392" s="52"/>
      <c r="R1392" s="52"/>
      <c r="S1392" s="52"/>
      <c r="T1392" s="52"/>
      <c r="U1392" s="52"/>
      <c r="V1392" s="52"/>
      <c r="W1392" s="52"/>
      <c r="X1392" s="52"/>
      <c r="Y1392" s="52"/>
      <c r="Z1392" s="52"/>
    </row>
    <row r="1393" spans="1:26" ht="15.75" customHeight="1">
      <c r="A1393" s="52"/>
      <c r="B1393" s="52"/>
      <c r="C1393" s="52"/>
      <c r="D1393" s="52"/>
      <c r="E1393" s="52"/>
      <c r="F1393" s="71"/>
      <c r="G1393" s="52"/>
      <c r="H1393" s="52"/>
      <c r="I1393" s="52"/>
      <c r="J1393" s="52"/>
      <c r="K1393" s="52"/>
      <c r="L1393" s="52"/>
      <c r="M1393" s="52"/>
      <c r="N1393" s="52"/>
      <c r="O1393" s="52"/>
      <c r="P1393" s="52"/>
      <c r="Q1393" s="52"/>
      <c r="R1393" s="52"/>
      <c r="S1393" s="52"/>
      <c r="T1393" s="52"/>
      <c r="U1393" s="52"/>
      <c r="V1393" s="52"/>
      <c r="W1393" s="52"/>
      <c r="X1393" s="52"/>
      <c r="Y1393" s="52"/>
      <c r="Z1393" s="52"/>
    </row>
    <row r="1394" spans="1:26" ht="15.75" customHeight="1">
      <c r="A1394" s="52"/>
      <c r="B1394" s="52"/>
      <c r="C1394" s="52"/>
      <c r="D1394" s="52"/>
      <c r="E1394" s="52"/>
      <c r="F1394" s="71"/>
      <c r="G1394" s="52"/>
      <c r="H1394" s="52"/>
      <c r="I1394" s="52"/>
      <c r="J1394" s="52"/>
      <c r="K1394" s="52"/>
      <c r="L1394" s="52"/>
      <c r="M1394" s="52"/>
      <c r="N1394" s="52"/>
      <c r="O1394" s="52"/>
      <c r="P1394" s="52"/>
      <c r="Q1394" s="52"/>
      <c r="R1394" s="52"/>
      <c r="S1394" s="52"/>
      <c r="T1394" s="52"/>
      <c r="U1394" s="52"/>
      <c r="V1394" s="52"/>
      <c r="W1394" s="52"/>
      <c r="X1394" s="52"/>
      <c r="Y1394" s="52"/>
      <c r="Z1394" s="52"/>
    </row>
    <row r="1395" spans="1:26" ht="15.75" customHeight="1">
      <c r="A1395" s="52"/>
      <c r="B1395" s="52"/>
      <c r="C1395" s="52"/>
      <c r="D1395" s="52"/>
      <c r="E1395" s="52"/>
      <c r="F1395" s="71"/>
      <c r="G1395" s="52"/>
      <c r="H1395" s="52"/>
      <c r="I1395" s="52"/>
      <c r="J1395" s="52"/>
      <c r="K1395" s="52"/>
      <c r="L1395" s="52"/>
      <c r="M1395" s="52"/>
      <c r="N1395" s="52"/>
      <c r="O1395" s="52"/>
      <c r="P1395" s="52"/>
      <c r="Q1395" s="52"/>
      <c r="R1395" s="52"/>
      <c r="S1395" s="52"/>
      <c r="T1395" s="52"/>
      <c r="U1395" s="52"/>
      <c r="V1395" s="52"/>
      <c r="W1395" s="52"/>
      <c r="X1395" s="52"/>
      <c r="Y1395" s="52"/>
      <c r="Z1395" s="52"/>
    </row>
    <row r="1396" spans="1:26" ht="15.75" customHeight="1">
      <c r="A1396" s="52"/>
      <c r="B1396" s="52"/>
      <c r="C1396" s="52"/>
      <c r="D1396" s="52"/>
      <c r="E1396" s="52"/>
      <c r="F1396" s="71"/>
      <c r="G1396" s="52"/>
      <c r="H1396" s="52"/>
      <c r="I1396" s="52"/>
      <c r="J1396" s="52"/>
      <c r="K1396" s="52"/>
      <c r="L1396" s="52"/>
      <c r="M1396" s="52"/>
      <c r="N1396" s="52"/>
      <c r="O1396" s="52"/>
      <c r="P1396" s="52"/>
      <c r="Q1396" s="52"/>
      <c r="R1396" s="52"/>
      <c r="S1396" s="52"/>
      <c r="T1396" s="52"/>
      <c r="U1396" s="52"/>
      <c r="V1396" s="52"/>
      <c r="W1396" s="52"/>
      <c r="X1396" s="52"/>
      <c r="Y1396" s="52"/>
      <c r="Z1396" s="52"/>
    </row>
    <row r="1397" spans="1:26" ht="15.75" customHeight="1">
      <c r="A1397" s="52"/>
      <c r="B1397" s="52"/>
      <c r="C1397" s="52"/>
      <c r="D1397" s="52"/>
      <c r="E1397" s="52"/>
      <c r="F1397" s="71"/>
      <c r="G1397" s="52"/>
      <c r="H1397" s="52"/>
      <c r="I1397" s="52"/>
      <c r="J1397" s="52"/>
      <c r="K1397" s="52"/>
      <c r="L1397" s="52"/>
      <c r="M1397" s="52"/>
      <c r="N1397" s="52"/>
      <c r="O1397" s="52"/>
      <c r="P1397" s="52"/>
      <c r="Q1397" s="52"/>
      <c r="R1397" s="52"/>
      <c r="S1397" s="52"/>
      <c r="T1397" s="52"/>
      <c r="U1397" s="52"/>
      <c r="V1397" s="52"/>
      <c r="W1397" s="52"/>
      <c r="X1397" s="52"/>
      <c r="Y1397" s="52"/>
      <c r="Z1397" s="52"/>
    </row>
    <row r="1398" spans="1:26" ht="15.75" customHeight="1">
      <c r="A1398" s="52"/>
      <c r="B1398" s="52"/>
      <c r="C1398" s="52"/>
      <c r="D1398" s="52"/>
      <c r="E1398" s="52"/>
      <c r="F1398" s="71"/>
      <c r="G1398" s="52"/>
      <c r="H1398" s="52"/>
      <c r="I1398" s="52"/>
      <c r="J1398" s="52"/>
      <c r="K1398" s="52"/>
      <c r="L1398" s="52"/>
      <c r="M1398" s="52"/>
      <c r="N1398" s="52"/>
      <c r="O1398" s="52"/>
      <c r="P1398" s="52"/>
      <c r="Q1398" s="52"/>
      <c r="R1398" s="52"/>
      <c r="S1398" s="52"/>
      <c r="T1398" s="52"/>
      <c r="U1398" s="52"/>
      <c r="V1398" s="52"/>
      <c r="W1398" s="52"/>
      <c r="X1398" s="52"/>
      <c r="Y1398" s="52"/>
      <c r="Z1398" s="52"/>
    </row>
    <row r="1399" spans="1:26" ht="15.75" customHeight="1">
      <c r="A1399" s="52"/>
      <c r="B1399" s="52"/>
      <c r="C1399" s="52"/>
      <c r="D1399" s="52"/>
      <c r="E1399" s="52"/>
      <c r="F1399" s="71"/>
      <c r="G1399" s="52"/>
      <c r="H1399" s="52"/>
      <c r="I1399" s="52"/>
      <c r="J1399" s="52"/>
      <c r="K1399" s="52"/>
      <c r="L1399" s="52"/>
      <c r="M1399" s="52"/>
      <c r="N1399" s="52"/>
      <c r="O1399" s="52"/>
      <c r="P1399" s="52"/>
      <c r="Q1399" s="52"/>
      <c r="R1399" s="52"/>
      <c r="S1399" s="52"/>
      <c r="T1399" s="52"/>
      <c r="U1399" s="52"/>
      <c r="V1399" s="52"/>
      <c r="W1399" s="52"/>
      <c r="X1399" s="52"/>
      <c r="Y1399" s="52"/>
      <c r="Z1399" s="52"/>
    </row>
    <row r="1400" spans="1:26" ht="15.75" customHeight="1">
      <c r="A1400" s="52"/>
      <c r="B1400" s="52"/>
      <c r="C1400" s="52"/>
      <c r="D1400" s="52"/>
      <c r="E1400" s="52"/>
      <c r="F1400" s="71"/>
      <c r="G1400" s="52"/>
      <c r="H1400" s="52"/>
      <c r="I1400" s="52"/>
      <c r="J1400" s="52"/>
      <c r="K1400" s="52"/>
      <c r="L1400" s="52"/>
      <c r="M1400" s="52"/>
      <c r="N1400" s="52"/>
      <c r="O1400" s="52"/>
      <c r="P1400" s="52"/>
      <c r="Q1400" s="52"/>
      <c r="R1400" s="52"/>
      <c r="S1400" s="52"/>
      <c r="T1400" s="52"/>
      <c r="U1400" s="52"/>
      <c r="V1400" s="52"/>
      <c r="W1400" s="52"/>
      <c r="X1400" s="52"/>
      <c r="Y1400" s="52"/>
      <c r="Z1400" s="52"/>
    </row>
    <row r="1401" spans="1:26" ht="15.75" customHeight="1">
      <c r="A1401" s="52"/>
      <c r="B1401" s="52"/>
      <c r="C1401" s="52"/>
      <c r="D1401" s="52"/>
      <c r="E1401" s="52"/>
      <c r="F1401" s="71"/>
      <c r="G1401" s="52"/>
      <c r="H1401" s="52"/>
      <c r="I1401" s="52"/>
      <c r="J1401" s="52"/>
      <c r="K1401" s="52"/>
      <c r="L1401" s="52"/>
      <c r="M1401" s="52"/>
      <c r="N1401" s="52"/>
      <c r="O1401" s="52"/>
      <c r="P1401" s="52"/>
      <c r="Q1401" s="52"/>
      <c r="R1401" s="52"/>
      <c r="S1401" s="52"/>
      <c r="T1401" s="52"/>
      <c r="U1401" s="52"/>
      <c r="V1401" s="52"/>
      <c r="W1401" s="52"/>
      <c r="X1401" s="52"/>
      <c r="Y1401" s="52"/>
      <c r="Z1401" s="52"/>
    </row>
    <row r="1402" spans="1:26" ht="15.75" customHeight="1">
      <c r="A1402" s="52"/>
      <c r="B1402" s="52"/>
      <c r="C1402" s="52"/>
      <c r="D1402" s="52"/>
      <c r="E1402" s="52"/>
      <c r="F1402" s="71"/>
      <c r="G1402" s="52"/>
      <c r="H1402" s="52"/>
      <c r="I1402" s="52"/>
      <c r="J1402" s="52"/>
      <c r="K1402" s="52"/>
      <c r="L1402" s="52"/>
      <c r="M1402" s="52"/>
      <c r="N1402" s="52"/>
      <c r="O1402" s="52"/>
      <c r="P1402" s="52"/>
      <c r="Q1402" s="52"/>
      <c r="R1402" s="52"/>
      <c r="S1402" s="52"/>
      <c r="T1402" s="52"/>
      <c r="U1402" s="52"/>
      <c r="V1402" s="52"/>
      <c r="W1402" s="52"/>
      <c r="X1402" s="52"/>
      <c r="Y1402" s="52"/>
      <c r="Z1402" s="52"/>
    </row>
    <row r="1403" spans="1:26" ht="15.75" customHeight="1">
      <c r="A1403" s="52"/>
      <c r="B1403" s="52"/>
      <c r="C1403" s="52"/>
      <c r="D1403" s="52"/>
      <c r="E1403" s="52"/>
      <c r="F1403" s="71"/>
      <c r="G1403" s="52"/>
      <c r="H1403" s="52"/>
      <c r="I1403" s="52"/>
      <c r="J1403" s="52"/>
      <c r="K1403" s="52"/>
      <c r="L1403" s="52"/>
      <c r="M1403" s="52"/>
      <c r="N1403" s="52"/>
      <c r="O1403" s="52"/>
      <c r="P1403" s="52"/>
      <c r="Q1403" s="52"/>
      <c r="R1403" s="52"/>
      <c r="S1403" s="52"/>
      <c r="T1403" s="52"/>
      <c r="U1403" s="52"/>
      <c r="V1403" s="52"/>
      <c r="W1403" s="52"/>
      <c r="X1403" s="52"/>
      <c r="Y1403" s="52"/>
      <c r="Z1403" s="52"/>
    </row>
    <row r="1404" spans="1:26" ht="15.75" customHeight="1">
      <c r="A1404" s="52"/>
      <c r="B1404" s="52"/>
      <c r="C1404" s="52"/>
      <c r="D1404" s="52"/>
      <c r="E1404" s="52"/>
      <c r="F1404" s="71"/>
      <c r="G1404" s="52"/>
      <c r="H1404" s="52"/>
      <c r="I1404" s="52"/>
      <c r="J1404" s="52"/>
      <c r="K1404" s="52"/>
      <c r="L1404" s="52"/>
      <c r="M1404" s="52"/>
      <c r="N1404" s="52"/>
      <c r="O1404" s="52"/>
      <c r="P1404" s="52"/>
      <c r="Q1404" s="52"/>
      <c r="R1404" s="52"/>
      <c r="S1404" s="52"/>
      <c r="T1404" s="52"/>
      <c r="U1404" s="52"/>
      <c r="V1404" s="52"/>
      <c r="W1404" s="52"/>
      <c r="X1404" s="52"/>
      <c r="Y1404" s="52"/>
      <c r="Z1404" s="52"/>
    </row>
    <row r="1405" spans="1:26" ht="15.75" customHeight="1">
      <c r="A1405" s="52"/>
      <c r="B1405" s="52"/>
      <c r="C1405" s="52"/>
      <c r="D1405" s="52"/>
      <c r="E1405" s="52"/>
      <c r="F1405" s="71"/>
      <c r="G1405" s="52"/>
      <c r="H1405" s="52"/>
      <c r="I1405" s="52"/>
      <c r="J1405" s="52"/>
      <c r="K1405" s="52"/>
      <c r="L1405" s="52"/>
      <c r="M1405" s="52"/>
      <c r="N1405" s="52"/>
      <c r="O1405" s="52"/>
      <c r="P1405" s="52"/>
      <c r="Q1405" s="52"/>
      <c r="R1405" s="52"/>
      <c r="S1405" s="52"/>
      <c r="T1405" s="52"/>
      <c r="U1405" s="52"/>
      <c r="V1405" s="52"/>
      <c r="W1405" s="52"/>
      <c r="X1405" s="52"/>
      <c r="Y1405" s="52"/>
      <c r="Z1405" s="52"/>
    </row>
    <row r="1406" spans="1:26" ht="15.75" customHeight="1">
      <c r="A1406" s="52"/>
      <c r="B1406" s="52"/>
      <c r="C1406" s="52"/>
      <c r="D1406" s="52"/>
      <c r="E1406" s="52"/>
      <c r="F1406" s="71"/>
      <c r="G1406" s="52"/>
      <c r="H1406" s="52"/>
      <c r="I1406" s="52"/>
      <c r="J1406" s="52"/>
      <c r="K1406" s="52"/>
      <c r="L1406" s="52"/>
      <c r="M1406" s="52"/>
      <c r="N1406" s="52"/>
      <c r="O1406" s="52"/>
      <c r="P1406" s="52"/>
      <c r="Q1406" s="52"/>
      <c r="R1406" s="52"/>
      <c r="S1406" s="52"/>
      <c r="T1406" s="52"/>
      <c r="U1406" s="52"/>
      <c r="V1406" s="52"/>
      <c r="W1406" s="52"/>
      <c r="X1406" s="52"/>
      <c r="Y1406" s="52"/>
      <c r="Z1406" s="52"/>
    </row>
    <row r="1407" spans="1:26" ht="15.75" customHeight="1">
      <c r="A1407" s="52"/>
      <c r="B1407" s="52"/>
      <c r="C1407" s="52"/>
      <c r="D1407" s="52"/>
      <c r="E1407" s="52"/>
      <c r="F1407" s="71"/>
      <c r="G1407" s="52"/>
      <c r="H1407" s="52"/>
      <c r="I1407" s="52"/>
      <c r="J1407" s="52"/>
      <c r="K1407" s="52"/>
      <c r="L1407" s="52"/>
      <c r="M1407" s="52"/>
      <c r="N1407" s="52"/>
      <c r="O1407" s="52"/>
      <c r="P1407" s="52"/>
      <c r="Q1407" s="52"/>
      <c r="R1407" s="52"/>
      <c r="S1407" s="52"/>
      <c r="T1407" s="52"/>
      <c r="U1407" s="52"/>
      <c r="V1407" s="52"/>
      <c r="W1407" s="52"/>
      <c r="X1407" s="52"/>
      <c r="Y1407" s="52"/>
      <c r="Z1407" s="52"/>
    </row>
    <row r="1408" spans="1:26" ht="15.75" customHeight="1">
      <c r="A1408" s="52"/>
      <c r="B1408" s="52"/>
      <c r="C1408" s="52"/>
      <c r="D1408" s="52"/>
      <c r="E1408" s="52"/>
      <c r="F1408" s="71"/>
      <c r="G1408" s="52"/>
      <c r="H1408" s="52"/>
      <c r="I1408" s="52"/>
      <c r="J1408" s="52"/>
      <c r="K1408" s="52"/>
      <c r="L1408" s="52"/>
      <c r="M1408" s="52"/>
      <c r="N1408" s="52"/>
      <c r="O1408" s="52"/>
      <c r="P1408" s="52"/>
      <c r="Q1408" s="52"/>
      <c r="R1408" s="52"/>
      <c r="S1408" s="52"/>
      <c r="T1408" s="52"/>
      <c r="U1408" s="52"/>
      <c r="V1408" s="52"/>
      <c r="W1408" s="52"/>
      <c r="X1408" s="52"/>
      <c r="Y1408" s="52"/>
      <c r="Z1408" s="52"/>
    </row>
    <row r="1409" spans="1:26" ht="15.75" customHeight="1">
      <c r="A1409" s="52"/>
      <c r="B1409" s="52"/>
      <c r="C1409" s="52"/>
      <c r="D1409" s="52"/>
      <c r="E1409" s="52"/>
      <c r="F1409" s="71"/>
      <c r="G1409" s="52"/>
      <c r="H1409" s="52"/>
      <c r="I1409" s="52"/>
      <c r="J1409" s="52"/>
      <c r="K1409" s="52"/>
      <c r="L1409" s="52"/>
      <c r="M1409" s="52"/>
      <c r="N1409" s="52"/>
      <c r="O1409" s="52"/>
      <c r="P1409" s="52"/>
      <c r="Q1409" s="52"/>
      <c r="R1409" s="52"/>
      <c r="S1409" s="52"/>
      <c r="T1409" s="52"/>
      <c r="U1409" s="52"/>
      <c r="V1409" s="52"/>
      <c r="W1409" s="52"/>
      <c r="X1409" s="52"/>
      <c r="Y1409" s="52"/>
      <c r="Z1409" s="52"/>
    </row>
    <row r="1410" spans="1:26" ht="15.75" customHeight="1">
      <c r="A1410" s="52"/>
      <c r="B1410" s="52"/>
      <c r="C1410" s="52"/>
      <c r="D1410" s="52"/>
      <c r="E1410" s="52"/>
      <c r="F1410" s="71"/>
      <c r="G1410" s="52"/>
      <c r="H1410" s="52"/>
      <c r="I1410" s="52"/>
      <c r="J1410" s="52"/>
      <c r="K1410" s="52"/>
      <c r="L1410" s="52"/>
      <c r="M1410" s="52"/>
      <c r="N1410" s="52"/>
      <c r="O1410" s="52"/>
      <c r="P1410" s="52"/>
      <c r="Q1410" s="52"/>
      <c r="R1410" s="52"/>
      <c r="S1410" s="52"/>
      <c r="T1410" s="52"/>
      <c r="U1410" s="52"/>
      <c r="V1410" s="52"/>
      <c r="W1410" s="52"/>
      <c r="X1410" s="52"/>
      <c r="Y1410" s="52"/>
      <c r="Z1410" s="52"/>
    </row>
    <row r="1411" spans="1:26" ht="15.75" customHeight="1">
      <c r="A1411" s="52"/>
      <c r="B1411" s="52"/>
      <c r="C1411" s="52"/>
      <c r="D1411" s="52"/>
      <c r="E1411" s="52"/>
      <c r="F1411" s="71"/>
      <c r="G1411" s="52"/>
      <c r="H1411" s="52"/>
      <c r="I1411" s="52"/>
      <c r="J1411" s="52"/>
      <c r="K1411" s="52"/>
      <c r="L1411" s="52"/>
      <c r="M1411" s="52"/>
      <c r="N1411" s="52"/>
      <c r="O1411" s="52"/>
      <c r="P1411" s="52"/>
      <c r="Q1411" s="52"/>
      <c r="R1411" s="52"/>
      <c r="S1411" s="52"/>
      <c r="T1411" s="52"/>
      <c r="U1411" s="52"/>
      <c r="V1411" s="52"/>
      <c r="W1411" s="52"/>
      <c r="X1411" s="52"/>
      <c r="Y1411" s="52"/>
      <c r="Z1411" s="52"/>
    </row>
    <row r="1412" spans="1:26" ht="15.75" customHeight="1">
      <c r="A1412" s="52"/>
      <c r="B1412" s="52"/>
      <c r="C1412" s="52"/>
      <c r="D1412" s="52"/>
      <c r="E1412" s="52"/>
      <c r="F1412" s="71"/>
      <c r="G1412" s="52"/>
      <c r="H1412" s="52"/>
      <c r="I1412" s="52"/>
      <c r="J1412" s="52"/>
      <c r="K1412" s="52"/>
      <c r="L1412" s="52"/>
      <c r="M1412" s="52"/>
      <c r="N1412" s="52"/>
      <c r="O1412" s="52"/>
      <c r="P1412" s="52"/>
      <c r="Q1412" s="52"/>
      <c r="R1412" s="52"/>
      <c r="S1412" s="52"/>
      <c r="T1412" s="52"/>
      <c r="U1412" s="52"/>
      <c r="V1412" s="52"/>
      <c r="W1412" s="52"/>
      <c r="X1412" s="52"/>
      <c r="Y1412" s="52"/>
      <c r="Z1412" s="52"/>
    </row>
    <row r="1413" spans="1:26" ht="15.75" customHeight="1">
      <c r="A1413" s="52"/>
      <c r="B1413" s="52"/>
      <c r="C1413" s="52"/>
      <c r="D1413" s="52"/>
      <c r="E1413" s="52"/>
      <c r="F1413" s="71"/>
      <c r="G1413" s="52"/>
      <c r="H1413" s="52"/>
      <c r="I1413" s="52"/>
      <c r="J1413" s="52"/>
      <c r="K1413" s="52"/>
      <c r="L1413" s="52"/>
      <c r="M1413" s="52"/>
      <c r="N1413" s="52"/>
      <c r="O1413" s="52"/>
      <c r="P1413" s="52"/>
      <c r="Q1413" s="52"/>
      <c r="R1413" s="52"/>
      <c r="S1413" s="52"/>
      <c r="T1413" s="52"/>
      <c r="U1413" s="52"/>
      <c r="V1413" s="52"/>
      <c r="W1413" s="52"/>
      <c r="X1413" s="52"/>
      <c r="Y1413" s="52"/>
      <c r="Z1413" s="52"/>
    </row>
    <row r="1414" spans="1:26" ht="15.75" customHeight="1">
      <c r="A1414" s="52"/>
      <c r="B1414" s="52"/>
      <c r="C1414" s="52"/>
      <c r="D1414" s="52"/>
      <c r="E1414" s="52"/>
      <c r="F1414" s="71"/>
      <c r="G1414" s="52"/>
      <c r="H1414" s="52"/>
      <c r="I1414" s="52"/>
      <c r="J1414" s="52"/>
      <c r="K1414" s="52"/>
      <c r="L1414" s="52"/>
      <c r="M1414" s="52"/>
      <c r="N1414" s="52"/>
      <c r="O1414" s="52"/>
      <c r="P1414" s="52"/>
      <c r="Q1414" s="52"/>
      <c r="R1414" s="52"/>
      <c r="S1414" s="52"/>
      <c r="T1414" s="52"/>
      <c r="U1414" s="52"/>
      <c r="V1414" s="52"/>
      <c r="W1414" s="52"/>
      <c r="X1414" s="52"/>
      <c r="Y1414" s="52"/>
      <c r="Z1414" s="52"/>
    </row>
    <row r="1415" spans="1:26" ht="15.75" customHeight="1">
      <c r="A1415" s="52"/>
      <c r="B1415" s="52"/>
      <c r="C1415" s="52"/>
      <c r="D1415" s="52"/>
      <c r="E1415" s="52"/>
      <c r="F1415" s="71"/>
      <c r="G1415" s="52"/>
      <c r="H1415" s="52"/>
      <c r="I1415" s="52"/>
      <c r="J1415" s="52"/>
      <c r="K1415" s="52"/>
      <c r="L1415" s="52"/>
      <c r="M1415" s="52"/>
      <c r="N1415" s="52"/>
      <c r="O1415" s="52"/>
      <c r="P1415" s="52"/>
      <c r="Q1415" s="52"/>
      <c r="R1415" s="52"/>
      <c r="S1415" s="52"/>
      <c r="T1415" s="52"/>
      <c r="U1415" s="52"/>
      <c r="V1415" s="52"/>
      <c r="W1415" s="52"/>
      <c r="X1415" s="52"/>
      <c r="Y1415" s="52"/>
      <c r="Z1415" s="52"/>
    </row>
    <row r="1416" spans="1:26" ht="15.75" customHeight="1">
      <c r="A1416" s="52"/>
      <c r="B1416" s="52"/>
      <c r="C1416" s="52"/>
      <c r="D1416" s="52"/>
      <c r="E1416" s="52"/>
      <c r="F1416" s="71"/>
      <c r="G1416" s="52"/>
      <c r="H1416" s="52"/>
      <c r="I1416" s="52"/>
      <c r="J1416" s="52"/>
      <c r="K1416" s="52"/>
      <c r="L1416" s="52"/>
      <c r="M1416" s="52"/>
      <c r="N1416" s="52"/>
      <c r="O1416" s="52"/>
      <c r="P1416" s="52"/>
      <c r="Q1416" s="52"/>
      <c r="R1416" s="52"/>
      <c r="S1416" s="52"/>
      <c r="T1416" s="52"/>
      <c r="U1416" s="52"/>
      <c r="V1416" s="52"/>
      <c r="W1416" s="52"/>
      <c r="X1416" s="52"/>
      <c r="Y1416" s="52"/>
      <c r="Z1416" s="52"/>
    </row>
    <row r="1417" spans="1:26" ht="15.75" customHeight="1">
      <c r="A1417" s="52"/>
      <c r="B1417" s="52"/>
      <c r="C1417" s="52"/>
      <c r="D1417" s="52"/>
      <c r="E1417" s="52"/>
      <c r="F1417" s="71"/>
      <c r="G1417" s="52"/>
      <c r="H1417" s="52"/>
      <c r="I1417" s="52"/>
      <c r="J1417" s="52"/>
      <c r="K1417" s="52"/>
      <c r="L1417" s="52"/>
      <c r="M1417" s="52"/>
      <c r="N1417" s="52"/>
      <c r="O1417" s="52"/>
      <c r="P1417" s="52"/>
      <c r="Q1417" s="52"/>
      <c r="R1417" s="52"/>
      <c r="S1417" s="52"/>
      <c r="T1417" s="52"/>
      <c r="U1417" s="52"/>
      <c r="V1417" s="52"/>
      <c r="W1417" s="52"/>
      <c r="X1417" s="52"/>
      <c r="Y1417" s="52"/>
      <c r="Z1417" s="52"/>
    </row>
    <row r="1418" spans="1:26" ht="15.75" customHeight="1">
      <c r="A1418" s="52"/>
      <c r="B1418" s="52"/>
      <c r="C1418" s="52"/>
      <c r="D1418" s="52"/>
      <c r="E1418" s="52"/>
      <c r="F1418" s="71"/>
      <c r="G1418" s="52"/>
      <c r="H1418" s="52"/>
      <c r="I1418" s="52"/>
      <c r="J1418" s="52"/>
      <c r="K1418" s="52"/>
      <c r="L1418" s="52"/>
      <c r="M1418" s="52"/>
      <c r="N1418" s="52"/>
      <c r="O1418" s="52"/>
      <c r="P1418" s="52"/>
      <c r="Q1418" s="52"/>
      <c r="R1418" s="52"/>
      <c r="S1418" s="52"/>
      <c r="T1418" s="52"/>
      <c r="U1418" s="52"/>
      <c r="V1418" s="52"/>
      <c r="W1418" s="52"/>
      <c r="X1418" s="52"/>
      <c r="Y1418" s="52"/>
      <c r="Z1418" s="52"/>
    </row>
    <row r="1419" spans="1:26" ht="15.75" customHeight="1">
      <c r="A1419" s="52"/>
      <c r="B1419" s="52"/>
      <c r="C1419" s="52"/>
      <c r="D1419" s="52"/>
      <c r="E1419" s="52"/>
      <c r="F1419" s="71"/>
      <c r="G1419" s="52"/>
      <c r="H1419" s="52"/>
      <c r="I1419" s="52"/>
      <c r="J1419" s="52"/>
      <c r="K1419" s="52"/>
      <c r="L1419" s="52"/>
      <c r="M1419" s="52"/>
      <c r="N1419" s="52"/>
      <c r="O1419" s="52"/>
      <c r="P1419" s="52"/>
      <c r="Q1419" s="52"/>
      <c r="R1419" s="52"/>
      <c r="S1419" s="52"/>
      <c r="T1419" s="52"/>
      <c r="U1419" s="52"/>
      <c r="V1419" s="52"/>
      <c r="W1419" s="52"/>
      <c r="X1419" s="52"/>
      <c r="Y1419" s="52"/>
      <c r="Z1419" s="52"/>
    </row>
    <row r="1420" spans="1:26" ht="15.75" customHeight="1">
      <c r="A1420" s="52"/>
      <c r="B1420" s="52"/>
      <c r="C1420" s="52"/>
      <c r="D1420" s="52"/>
      <c r="E1420" s="52"/>
      <c r="F1420" s="71"/>
      <c r="G1420" s="52"/>
      <c r="H1420" s="52"/>
      <c r="I1420" s="52"/>
      <c r="J1420" s="52"/>
      <c r="K1420" s="52"/>
      <c r="L1420" s="52"/>
      <c r="M1420" s="52"/>
      <c r="N1420" s="52"/>
      <c r="O1420" s="52"/>
      <c r="P1420" s="52"/>
      <c r="Q1420" s="52"/>
      <c r="R1420" s="52"/>
      <c r="S1420" s="52"/>
      <c r="T1420" s="52"/>
      <c r="U1420" s="52"/>
      <c r="V1420" s="52"/>
      <c r="W1420" s="52"/>
      <c r="X1420" s="52"/>
      <c r="Y1420" s="52"/>
      <c r="Z1420" s="52"/>
    </row>
    <row r="1421" spans="1:26" ht="15.75" customHeight="1">
      <c r="A1421" s="52"/>
      <c r="B1421" s="52"/>
      <c r="C1421" s="52"/>
      <c r="D1421" s="52"/>
      <c r="E1421" s="52"/>
      <c r="F1421" s="71"/>
      <c r="G1421" s="52"/>
      <c r="H1421" s="52"/>
      <c r="I1421" s="52"/>
      <c r="J1421" s="52"/>
      <c r="K1421" s="52"/>
      <c r="L1421" s="52"/>
      <c r="M1421" s="52"/>
      <c r="N1421" s="52"/>
      <c r="O1421" s="52"/>
      <c r="P1421" s="52"/>
      <c r="Q1421" s="52"/>
      <c r="R1421" s="52"/>
      <c r="S1421" s="52"/>
      <c r="T1421" s="52"/>
      <c r="U1421" s="52"/>
      <c r="V1421" s="52"/>
      <c r="W1421" s="52"/>
      <c r="X1421" s="52"/>
      <c r="Y1421" s="52"/>
      <c r="Z1421" s="52"/>
    </row>
    <row r="1422" spans="1:26" ht="15.75" customHeight="1">
      <c r="A1422" s="52"/>
      <c r="B1422" s="52"/>
      <c r="C1422" s="52"/>
      <c r="D1422" s="52"/>
      <c r="E1422" s="52"/>
      <c r="F1422" s="71"/>
      <c r="G1422" s="52"/>
      <c r="H1422" s="52"/>
      <c r="I1422" s="52"/>
      <c r="J1422" s="52"/>
      <c r="K1422" s="52"/>
      <c r="L1422" s="52"/>
      <c r="M1422" s="52"/>
      <c r="N1422" s="52"/>
      <c r="O1422" s="52"/>
      <c r="P1422" s="52"/>
      <c r="Q1422" s="52"/>
      <c r="R1422" s="52"/>
      <c r="S1422" s="52"/>
      <c r="T1422" s="52"/>
      <c r="U1422" s="52"/>
      <c r="V1422" s="52"/>
      <c r="W1422" s="52"/>
      <c r="X1422" s="52"/>
      <c r="Y1422" s="52"/>
      <c r="Z1422" s="52"/>
    </row>
    <row r="1423" spans="1:26" ht="15.75" customHeight="1">
      <c r="A1423" s="52"/>
      <c r="B1423" s="52"/>
      <c r="C1423" s="52"/>
      <c r="D1423" s="52"/>
      <c r="E1423" s="52"/>
      <c r="F1423" s="71"/>
      <c r="G1423" s="52"/>
      <c r="H1423" s="52"/>
      <c r="I1423" s="52"/>
      <c r="J1423" s="52"/>
      <c r="K1423" s="52"/>
      <c r="L1423" s="52"/>
      <c r="M1423" s="52"/>
      <c r="N1423" s="52"/>
      <c r="O1423" s="52"/>
      <c r="P1423" s="52"/>
      <c r="Q1423" s="52"/>
      <c r="R1423" s="52"/>
      <c r="S1423" s="52"/>
      <c r="T1423" s="52"/>
      <c r="U1423" s="52"/>
      <c r="V1423" s="52"/>
      <c r="W1423" s="52"/>
      <c r="X1423" s="52"/>
      <c r="Y1423" s="52"/>
      <c r="Z1423" s="52"/>
    </row>
    <row r="1424" spans="1:26" ht="15.75" customHeight="1">
      <c r="A1424" s="52"/>
      <c r="B1424" s="52"/>
      <c r="C1424" s="52"/>
      <c r="D1424" s="52"/>
      <c r="E1424" s="52"/>
      <c r="F1424" s="71"/>
      <c r="G1424" s="52"/>
      <c r="H1424" s="52"/>
      <c r="I1424" s="52"/>
      <c r="J1424" s="52"/>
      <c r="K1424" s="52"/>
      <c r="L1424" s="52"/>
      <c r="M1424" s="52"/>
      <c r="N1424" s="52"/>
      <c r="O1424" s="52"/>
      <c r="P1424" s="52"/>
      <c r="Q1424" s="52"/>
      <c r="R1424" s="52"/>
      <c r="S1424" s="52"/>
      <c r="T1424" s="52"/>
      <c r="U1424" s="52"/>
      <c r="V1424" s="52"/>
      <c r="W1424" s="52"/>
      <c r="X1424" s="52"/>
      <c r="Y1424" s="52"/>
      <c r="Z1424" s="52"/>
    </row>
    <row r="1425" spans="1:26" ht="15.75" customHeight="1">
      <c r="A1425" s="52"/>
      <c r="B1425" s="52"/>
      <c r="C1425" s="52"/>
      <c r="D1425" s="52"/>
      <c r="E1425" s="52"/>
      <c r="F1425" s="71"/>
      <c r="G1425" s="52"/>
      <c r="H1425" s="52"/>
      <c r="I1425" s="52"/>
      <c r="J1425" s="52"/>
      <c r="K1425" s="52"/>
      <c r="L1425" s="52"/>
      <c r="M1425" s="52"/>
      <c r="N1425" s="52"/>
      <c r="O1425" s="52"/>
      <c r="P1425" s="52"/>
      <c r="Q1425" s="52"/>
      <c r="R1425" s="52"/>
      <c r="S1425" s="52"/>
      <c r="T1425" s="52"/>
      <c r="U1425" s="52"/>
      <c r="V1425" s="52"/>
      <c r="W1425" s="52"/>
      <c r="X1425" s="52"/>
      <c r="Y1425" s="52"/>
      <c r="Z1425" s="52"/>
    </row>
    <row r="1426" spans="1:26" ht="15.75" customHeight="1">
      <c r="A1426" s="52"/>
      <c r="B1426" s="52"/>
      <c r="C1426" s="52"/>
      <c r="D1426" s="52"/>
      <c r="E1426" s="52"/>
      <c r="F1426" s="71"/>
      <c r="G1426" s="52"/>
      <c r="H1426" s="52"/>
      <c r="I1426" s="52"/>
      <c r="J1426" s="52"/>
      <c r="K1426" s="52"/>
      <c r="L1426" s="52"/>
      <c r="M1426" s="52"/>
      <c r="N1426" s="52"/>
      <c r="O1426" s="52"/>
      <c r="P1426" s="52"/>
      <c r="Q1426" s="52"/>
      <c r="R1426" s="52"/>
      <c r="S1426" s="52"/>
      <c r="T1426" s="52"/>
      <c r="U1426" s="52"/>
      <c r="V1426" s="52"/>
      <c r="W1426" s="52"/>
      <c r="X1426" s="52"/>
      <c r="Y1426" s="52"/>
      <c r="Z1426" s="52"/>
    </row>
    <row r="1427" spans="1:26" ht="15.75" customHeight="1">
      <c r="A1427" s="52"/>
      <c r="B1427" s="52"/>
      <c r="C1427" s="52"/>
      <c r="D1427" s="52"/>
      <c r="E1427" s="52"/>
      <c r="F1427" s="71"/>
      <c r="G1427" s="52"/>
      <c r="H1427" s="52"/>
      <c r="I1427" s="52"/>
      <c r="J1427" s="52"/>
      <c r="K1427" s="52"/>
      <c r="L1427" s="52"/>
      <c r="M1427" s="52"/>
      <c r="N1427" s="52"/>
      <c r="O1427" s="52"/>
      <c r="P1427" s="52"/>
      <c r="Q1427" s="52"/>
      <c r="R1427" s="52"/>
      <c r="S1427" s="52"/>
      <c r="T1427" s="52"/>
      <c r="U1427" s="52"/>
      <c r="V1427" s="52"/>
      <c r="W1427" s="52"/>
      <c r="X1427" s="52"/>
      <c r="Y1427" s="52"/>
      <c r="Z1427" s="52"/>
    </row>
    <row r="1428" spans="1:26" ht="15.75" customHeight="1">
      <c r="A1428" s="52"/>
      <c r="B1428" s="52"/>
      <c r="C1428" s="52"/>
      <c r="D1428" s="52"/>
      <c r="E1428" s="52"/>
      <c r="F1428" s="71"/>
      <c r="G1428" s="52"/>
      <c r="H1428" s="52"/>
      <c r="I1428" s="52"/>
      <c r="J1428" s="52"/>
      <c r="K1428" s="52"/>
      <c r="L1428" s="52"/>
      <c r="M1428" s="52"/>
      <c r="N1428" s="52"/>
      <c r="O1428" s="52"/>
      <c r="P1428" s="52"/>
      <c r="Q1428" s="52"/>
      <c r="R1428" s="52"/>
      <c r="S1428" s="52"/>
      <c r="T1428" s="52"/>
      <c r="U1428" s="52"/>
      <c r="V1428" s="52"/>
      <c r="W1428" s="52"/>
      <c r="X1428" s="52"/>
      <c r="Y1428" s="52"/>
      <c r="Z1428" s="52"/>
    </row>
    <row r="1429" spans="1:26" ht="15.75" customHeight="1">
      <c r="A1429" s="52"/>
      <c r="B1429" s="52"/>
      <c r="C1429" s="52"/>
      <c r="D1429" s="52"/>
      <c r="E1429" s="52"/>
      <c r="F1429" s="71"/>
      <c r="G1429" s="52"/>
      <c r="H1429" s="52"/>
      <c r="I1429" s="52"/>
      <c r="J1429" s="52"/>
      <c r="K1429" s="52"/>
      <c r="L1429" s="52"/>
      <c r="M1429" s="52"/>
      <c r="N1429" s="52"/>
      <c r="O1429" s="52"/>
      <c r="P1429" s="52"/>
      <c r="Q1429" s="52"/>
      <c r="R1429" s="52"/>
      <c r="S1429" s="52"/>
      <c r="T1429" s="52"/>
      <c r="U1429" s="52"/>
      <c r="V1429" s="52"/>
      <c r="W1429" s="52"/>
      <c r="X1429" s="52"/>
      <c r="Y1429" s="52"/>
      <c r="Z1429" s="52"/>
    </row>
    <row r="1430" spans="1:26" ht="15.75" customHeight="1">
      <c r="A1430" s="52"/>
      <c r="B1430" s="52"/>
      <c r="C1430" s="52"/>
      <c r="D1430" s="52"/>
      <c r="E1430" s="52"/>
      <c r="F1430" s="71"/>
      <c r="G1430" s="52"/>
      <c r="H1430" s="52"/>
      <c r="I1430" s="52"/>
      <c r="J1430" s="52"/>
      <c r="K1430" s="52"/>
      <c r="L1430" s="52"/>
      <c r="M1430" s="52"/>
      <c r="N1430" s="52"/>
      <c r="O1430" s="52"/>
      <c r="P1430" s="52"/>
      <c r="Q1430" s="52"/>
      <c r="R1430" s="52"/>
      <c r="S1430" s="52"/>
      <c r="T1430" s="52"/>
      <c r="U1430" s="52"/>
      <c r="V1430" s="52"/>
      <c r="W1430" s="52"/>
      <c r="X1430" s="52"/>
      <c r="Y1430" s="52"/>
      <c r="Z1430" s="52"/>
    </row>
    <row r="1431" spans="1:26" ht="15.75" customHeight="1">
      <c r="A1431" s="52"/>
      <c r="B1431" s="52"/>
      <c r="C1431" s="52"/>
      <c r="D1431" s="52"/>
      <c r="E1431" s="52"/>
      <c r="F1431" s="71"/>
      <c r="G1431" s="52"/>
      <c r="H1431" s="52"/>
      <c r="I1431" s="52"/>
      <c r="J1431" s="52"/>
      <c r="K1431" s="52"/>
      <c r="L1431" s="52"/>
      <c r="M1431" s="52"/>
      <c r="N1431" s="52"/>
      <c r="O1431" s="52"/>
      <c r="P1431" s="52"/>
      <c r="Q1431" s="52"/>
      <c r="R1431" s="52"/>
      <c r="S1431" s="52"/>
      <c r="T1431" s="52"/>
      <c r="U1431" s="52"/>
      <c r="V1431" s="52"/>
      <c r="W1431" s="52"/>
      <c r="X1431" s="52"/>
      <c r="Y1431" s="52"/>
      <c r="Z1431" s="52"/>
    </row>
    <row r="1432" spans="1:26" ht="15.75" customHeight="1">
      <c r="A1432" s="52"/>
      <c r="B1432" s="52"/>
      <c r="C1432" s="52"/>
      <c r="D1432" s="52"/>
      <c r="E1432" s="52"/>
      <c r="F1432" s="71"/>
      <c r="G1432" s="52"/>
      <c r="H1432" s="52"/>
      <c r="I1432" s="52"/>
      <c r="J1432" s="52"/>
      <c r="K1432" s="52"/>
      <c r="L1432" s="52"/>
      <c r="M1432" s="52"/>
      <c r="N1432" s="52"/>
      <c r="O1432" s="52"/>
      <c r="P1432" s="52"/>
      <c r="Q1432" s="52"/>
      <c r="R1432" s="52"/>
      <c r="S1432" s="52"/>
      <c r="T1432" s="52"/>
      <c r="U1432" s="52"/>
      <c r="V1432" s="52"/>
      <c r="W1432" s="52"/>
      <c r="X1432" s="52"/>
      <c r="Y1432" s="52"/>
      <c r="Z1432" s="52"/>
    </row>
    <row r="1433" spans="1:26" ht="15.75" customHeight="1">
      <c r="A1433" s="52"/>
      <c r="B1433" s="52"/>
      <c r="C1433" s="52"/>
      <c r="D1433" s="52"/>
      <c r="E1433" s="52"/>
      <c r="F1433" s="71"/>
      <c r="G1433" s="52"/>
      <c r="H1433" s="52"/>
      <c r="I1433" s="52"/>
      <c r="J1433" s="52"/>
      <c r="K1433" s="52"/>
      <c r="L1433" s="52"/>
      <c r="M1433" s="52"/>
      <c r="N1433" s="52"/>
      <c r="O1433" s="52"/>
      <c r="P1433" s="52"/>
      <c r="Q1433" s="52"/>
      <c r="R1433" s="52"/>
      <c r="S1433" s="52"/>
      <c r="T1433" s="52"/>
      <c r="U1433" s="52"/>
      <c r="V1433" s="52"/>
      <c r="W1433" s="52"/>
      <c r="X1433" s="52"/>
      <c r="Y1433" s="52"/>
      <c r="Z1433" s="52"/>
    </row>
    <row r="1434" spans="1:26" ht="15.75" customHeight="1">
      <c r="A1434" s="52"/>
      <c r="B1434" s="52"/>
      <c r="C1434" s="52"/>
      <c r="D1434" s="52"/>
      <c r="E1434" s="52"/>
      <c r="F1434" s="71"/>
      <c r="G1434" s="52"/>
      <c r="H1434" s="52"/>
      <c r="I1434" s="52"/>
      <c r="J1434" s="52"/>
      <c r="K1434" s="52"/>
      <c r="L1434" s="52"/>
      <c r="M1434" s="52"/>
      <c r="N1434" s="52"/>
      <c r="O1434" s="52"/>
      <c r="P1434" s="52"/>
      <c r="Q1434" s="52"/>
      <c r="R1434" s="52"/>
      <c r="S1434" s="52"/>
      <c r="T1434" s="52"/>
      <c r="U1434" s="52"/>
      <c r="V1434" s="52"/>
      <c r="W1434" s="52"/>
      <c r="X1434" s="52"/>
      <c r="Y1434" s="52"/>
      <c r="Z1434" s="52"/>
    </row>
    <row r="1435" spans="1:26" ht="15.75" customHeight="1">
      <c r="A1435" s="52"/>
      <c r="B1435" s="52"/>
      <c r="C1435" s="52"/>
      <c r="D1435" s="52"/>
      <c r="E1435" s="52"/>
      <c r="F1435" s="71"/>
      <c r="G1435" s="52"/>
      <c r="H1435" s="52"/>
      <c r="I1435" s="52"/>
      <c r="J1435" s="52"/>
      <c r="K1435" s="52"/>
      <c r="L1435" s="52"/>
      <c r="M1435" s="52"/>
      <c r="N1435" s="52"/>
      <c r="O1435" s="52"/>
      <c r="P1435" s="52"/>
      <c r="Q1435" s="52"/>
      <c r="R1435" s="52"/>
      <c r="S1435" s="52"/>
      <c r="T1435" s="52"/>
      <c r="U1435" s="52"/>
      <c r="V1435" s="52"/>
      <c r="W1435" s="52"/>
      <c r="X1435" s="52"/>
      <c r="Y1435" s="52"/>
      <c r="Z1435" s="52"/>
    </row>
    <row r="1436" spans="1:26" ht="15.75" customHeight="1">
      <c r="A1436" s="52"/>
      <c r="B1436" s="52"/>
      <c r="C1436" s="52"/>
      <c r="D1436" s="52"/>
      <c r="E1436" s="52"/>
      <c r="F1436" s="71"/>
      <c r="G1436" s="52"/>
      <c r="H1436" s="52"/>
      <c r="I1436" s="52"/>
      <c r="J1436" s="52"/>
      <c r="K1436" s="52"/>
      <c r="L1436" s="52"/>
      <c r="M1436" s="52"/>
      <c r="N1436" s="52"/>
      <c r="O1436" s="52"/>
      <c r="P1436" s="52"/>
      <c r="Q1436" s="52"/>
      <c r="R1436" s="52"/>
      <c r="S1436" s="52"/>
      <c r="T1436" s="52"/>
      <c r="U1436" s="52"/>
      <c r="V1436" s="52"/>
      <c r="W1436" s="52"/>
      <c r="X1436" s="52"/>
      <c r="Y1436" s="52"/>
      <c r="Z1436" s="52"/>
    </row>
    <row r="1437" spans="1:26" ht="15.75" customHeight="1">
      <c r="A1437" s="52"/>
      <c r="B1437" s="52"/>
      <c r="C1437" s="52"/>
      <c r="D1437" s="52"/>
      <c r="E1437" s="52"/>
      <c r="F1437" s="71"/>
      <c r="G1437" s="52"/>
      <c r="H1437" s="52"/>
      <c r="I1437" s="52"/>
      <c r="J1437" s="52"/>
      <c r="K1437" s="52"/>
      <c r="L1437" s="52"/>
      <c r="M1437" s="52"/>
      <c r="N1437" s="52"/>
      <c r="O1437" s="52"/>
      <c r="P1437" s="52"/>
      <c r="Q1437" s="52"/>
      <c r="R1437" s="52"/>
      <c r="S1437" s="52"/>
      <c r="T1437" s="52"/>
      <c r="U1437" s="52"/>
      <c r="V1437" s="52"/>
      <c r="W1437" s="52"/>
      <c r="X1437" s="52"/>
      <c r="Y1437" s="52"/>
      <c r="Z1437" s="52"/>
    </row>
    <row r="1438" spans="1:26" ht="15.75" customHeight="1">
      <c r="A1438" s="52"/>
      <c r="B1438" s="52"/>
      <c r="C1438" s="52"/>
      <c r="D1438" s="52"/>
      <c r="E1438" s="52"/>
      <c r="F1438" s="71"/>
      <c r="G1438" s="52"/>
      <c r="H1438" s="52"/>
      <c r="I1438" s="52"/>
      <c r="J1438" s="52"/>
      <c r="K1438" s="52"/>
      <c r="L1438" s="52"/>
      <c r="M1438" s="52"/>
      <c r="N1438" s="52"/>
      <c r="O1438" s="52"/>
      <c r="P1438" s="52"/>
      <c r="Q1438" s="52"/>
      <c r="R1438" s="52"/>
      <c r="S1438" s="52"/>
      <c r="T1438" s="52"/>
      <c r="U1438" s="52"/>
      <c r="V1438" s="52"/>
      <c r="W1438" s="52"/>
      <c r="X1438" s="52"/>
      <c r="Y1438" s="52"/>
      <c r="Z1438" s="52"/>
    </row>
    <row r="1439" spans="1:26" ht="15.75" customHeight="1">
      <c r="A1439" s="52"/>
      <c r="B1439" s="52"/>
      <c r="C1439" s="52"/>
      <c r="D1439" s="52"/>
      <c r="E1439" s="52"/>
      <c r="F1439" s="71"/>
      <c r="G1439" s="52"/>
      <c r="H1439" s="52"/>
      <c r="I1439" s="52"/>
      <c r="J1439" s="52"/>
      <c r="K1439" s="52"/>
      <c r="L1439" s="52"/>
      <c r="M1439" s="52"/>
      <c r="N1439" s="52"/>
      <c r="O1439" s="52"/>
      <c r="P1439" s="52"/>
      <c r="Q1439" s="52"/>
      <c r="R1439" s="52"/>
      <c r="S1439" s="52"/>
      <c r="T1439" s="52"/>
      <c r="U1439" s="52"/>
      <c r="V1439" s="52"/>
      <c r="W1439" s="52"/>
      <c r="X1439" s="52"/>
      <c r="Y1439" s="52"/>
      <c r="Z1439" s="52"/>
    </row>
    <row r="1440" spans="1:26" ht="15.75" customHeight="1">
      <c r="A1440" s="52"/>
      <c r="B1440" s="52"/>
      <c r="C1440" s="52"/>
      <c r="D1440" s="52"/>
      <c r="E1440" s="52"/>
      <c r="F1440" s="71"/>
      <c r="G1440" s="52"/>
      <c r="H1440" s="52"/>
      <c r="I1440" s="52"/>
      <c r="J1440" s="52"/>
      <c r="K1440" s="52"/>
      <c r="L1440" s="52"/>
      <c r="M1440" s="52"/>
      <c r="N1440" s="52"/>
      <c r="O1440" s="52"/>
      <c r="P1440" s="52"/>
      <c r="Q1440" s="52"/>
      <c r="R1440" s="52"/>
      <c r="S1440" s="52"/>
      <c r="T1440" s="52"/>
      <c r="U1440" s="52"/>
      <c r="V1440" s="52"/>
      <c r="W1440" s="52"/>
      <c r="X1440" s="52"/>
      <c r="Y1440" s="52"/>
      <c r="Z1440" s="52"/>
    </row>
    <row r="1441" spans="1:26" ht="15.75" customHeight="1">
      <c r="A1441" s="52"/>
      <c r="B1441" s="52"/>
      <c r="C1441" s="52"/>
      <c r="D1441" s="52"/>
      <c r="E1441" s="52"/>
      <c r="F1441" s="71"/>
      <c r="G1441" s="52"/>
      <c r="H1441" s="52"/>
      <c r="I1441" s="52"/>
      <c r="J1441" s="52"/>
      <c r="K1441" s="52"/>
      <c r="L1441" s="52"/>
      <c r="M1441" s="52"/>
      <c r="N1441" s="52"/>
      <c r="O1441" s="52"/>
      <c r="P1441" s="52"/>
      <c r="Q1441" s="52"/>
      <c r="R1441" s="52"/>
      <c r="S1441" s="52"/>
      <c r="T1441" s="52"/>
      <c r="U1441" s="52"/>
      <c r="V1441" s="52"/>
      <c r="W1441" s="52"/>
      <c r="X1441" s="52"/>
      <c r="Y1441" s="52"/>
      <c r="Z1441" s="52"/>
    </row>
    <row r="1442" spans="1:26" ht="15.75" customHeight="1">
      <c r="A1442" s="52"/>
      <c r="B1442" s="52"/>
      <c r="C1442" s="52"/>
      <c r="D1442" s="52"/>
      <c r="E1442" s="52"/>
      <c r="F1442" s="71"/>
      <c r="G1442" s="52"/>
      <c r="H1442" s="52"/>
      <c r="I1442" s="52"/>
      <c r="J1442" s="52"/>
      <c r="K1442" s="52"/>
      <c r="L1442" s="52"/>
      <c r="M1442" s="52"/>
      <c r="N1442" s="52"/>
      <c r="O1442" s="52"/>
      <c r="P1442" s="52"/>
      <c r="Q1442" s="52"/>
      <c r="R1442" s="52"/>
      <c r="S1442" s="52"/>
      <c r="T1442" s="52"/>
      <c r="U1442" s="52"/>
      <c r="V1442" s="52"/>
      <c r="W1442" s="52"/>
      <c r="X1442" s="52"/>
      <c r="Y1442" s="52"/>
      <c r="Z1442" s="52"/>
    </row>
    <row r="1443" spans="1:26" ht="15.75" customHeight="1">
      <c r="A1443" s="52"/>
      <c r="B1443" s="52"/>
      <c r="C1443" s="52"/>
      <c r="D1443" s="52"/>
      <c r="E1443" s="52"/>
      <c r="F1443" s="71"/>
      <c r="G1443" s="52"/>
      <c r="H1443" s="52"/>
      <c r="I1443" s="52"/>
      <c r="J1443" s="52"/>
      <c r="K1443" s="52"/>
      <c r="L1443" s="52"/>
      <c r="M1443" s="52"/>
      <c r="N1443" s="52"/>
      <c r="O1443" s="52"/>
      <c r="P1443" s="52"/>
      <c r="Q1443" s="52"/>
      <c r="R1443" s="52"/>
      <c r="S1443" s="52"/>
      <c r="T1443" s="52"/>
      <c r="U1443" s="52"/>
      <c r="V1443" s="52"/>
      <c r="W1443" s="52"/>
      <c r="X1443" s="52"/>
      <c r="Y1443" s="52"/>
      <c r="Z1443" s="52"/>
    </row>
    <row r="1444" spans="1:26" ht="15.75" customHeight="1">
      <c r="A1444" s="52"/>
      <c r="B1444" s="52"/>
      <c r="C1444" s="52"/>
      <c r="D1444" s="52"/>
      <c r="E1444" s="52"/>
      <c r="F1444" s="71"/>
      <c r="G1444" s="52"/>
      <c r="H1444" s="52"/>
      <c r="I1444" s="52"/>
      <c r="J1444" s="52"/>
      <c r="K1444" s="52"/>
      <c r="L1444" s="52"/>
      <c r="M1444" s="52"/>
      <c r="N1444" s="52"/>
      <c r="O1444" s="52"/>
      <c r="P1444" s="52"/>
      <c r="Q1444" s="52"/>
      <c r="R1444" s="52"/>
      <c r="S1444" s="52"/>
      <c r="T1444" s="52"/>
      <c r="U1444" s="52"/>
      <c r="V1444" s="52"/>
      <c r="W1444" s="52"/>
      <c r="X1444" s="52"/>
      <c r="Y1444" s="52"/>
      <c r="Z1444" s="52"/>
    </row>
    <row r="1445" spans="1:26" ht="15.75" customHeight="1">
      <c r="A1445" s="52"/>
      <c r="B1445" s="52"/>
      <c r="C1445" s="52"/>
      <c r="D1445" s="52"/>
      <c r="E1445" s="52"/>
      <c r="F1445" s="71"/>
      <c r="G1445" s="52"/>
      <c r="H1445" s="52"/>
      <c r="I1445" s="52"/>
      <c r="J1445" s="52"/>
      <c r="K1445" s="52"/>
      <c r="L1445" s="52"/>
      <c r="M1445" s="52"/>
      <c r="N1445" s="52"/>
      <c r="O1445" s="52"/>
      <c r="P1445" s="52"/>
      <c r="Q1445" s="52"/>
      <c r="R1445" s="52"/>
      <c r="S1445" s="52"/>
      <c r="T1445" s="52"/>
      <c r="U1445" s="52"/>
      <c r="V1445" s="52"/>
      <c r="W1445" s="52"/>
      <c r="X1445" s="52"/>
      <c r="Y1445" s="52"/>
      <c r="Z1445" s="52"/>
    </row>
    <row r="1446" spans="1:26" ht="15.75" customHeight="1">
      <c r="A1446" s="52"/>
      <c r="B1446" s="52"/>
      <c r="C1446" s="52"/>
      <c r="D1446" s="52"/>
      <c r="E1446" s="52"/>
      <c r="F1446" s="71"/>
      <c r="G1446" s="52"/>
      <c r="H1446" s="52"/>
      <c r="I1446" s="52"/>
      <c r="J1446" s="52"/>
      <c r="K1446" s="52"/>
      <c r="L1446" s="52"/>
      <c r="M1446" s="52"/>
      <c r="N1446" s="52"/>
      <c r="O1446" s="52"/>
      <c r="P1446" s="52"/>
      <c r="Q1446" s="52"/>
      <c r="R1446" s="52"/>
      <c r="S1446" s="52"/>
      <c r="T1446" s="52"/>
      <c r="U1446" s="52"/>
      <c r="V1446" s="52"/>
      <c r="W1446" s="52"/>
      <c r="X1446" s="52"/>
      <c r="Y1446" s="52"/>
      <c r="Z1446" s="52"/>
    </row>
    <row r="1447" spans="1:26" ht="15.75" customHeight="1">
      <c r="A1447" s="52"/>
      <c r="B1447" s="52"/>
      <c r="C1447" s="52"/>
      <c r="D1447" s="52"/>
      <c r="E1447" s="52"/>
      <c r="F1447" s="71"/>
      <c r="G1447" s="52"/>
      <c r="H1447" s="52"/>
      <c r="I1447" s="52"/>
      <c r="J1447" s="52"/>
      <c r="K1447" s="52"/>
      <c r="L1447" s="52"/>
      <c r="M1447" s="52"/>
      <c r="N1447" s="52"/>
      <c r="O1447" s="52"/>
      <c r="P1447" s="52"/>
      <c r="Q1447" s="52"/>
      <c r="R1447" s="52"/>
      <c r="S1447" s="52"/>
      <c r="T1447" s="52"/>
      <c r="U1447" s="52"/>
      <c r="V1447" s="52"/>
      <c r="W1447" s="52"/>
      <c r="X1447" s="52"/>
      <c r="Y1447" s="52"/>
      <c r="Z1447" s="52"/>
    </row>
    <row r="1448" spans="1:26" ht="15.75" customHeight="1">
      <c r="A1448" s="52"/>
      <c r="B1448" s="52"/>
      <c r="C1448" s="52"/>
      <c r="D1448" s="52"/>
      <c r="E1448" s="52"/>
      <c r="F1448" s="71"/>
      <c r="G1448" s="52"/>
      <c r="H1448" s="52"/>
      <c r="I1448" s="52"/>
      <c r="J1448" s="52"/>
      <c r="K1448" s="52"/>
      <c r="L1448" s="52"/>
      <c r="M1448" s="52"/>
      <c r="N1448" s="52"/>
      <c r="O1448" s="52"/>
      <c r="P1448" s="52"/>
      <c r="Q1448" s="52"/>
      <c r="R1448" s="52"/>
      <c r="S1448" s="52"/>
      <c r="T1448" s="52"/>
      <c r="U1448" s="52"/>
      <c r="V1448" s="52"/>
      <c r="W1448" s="52"/>
      <c r="X1448" s="52"/>
      <c r="Y1448" s="52"/>
      <c r="Z1448" s="52"/>
    </row>
    <row r="1449" spans="1:26" ht="15.75" customHeight="1">
      <c r="A1449" s="52"/>
      <c r="B1449" s="52"/>
      <c r="C1449" s="52"/>
      <c r="D1449" s="52"/>
      <c r="E1449" s="52"/>
      <c r="F1449" s="71"/>
      <c r="G1449" s="52"/>
      <c r="H1449" s="52"/>
      <c r="I1449" s="52"/>
      <c r="J1449" s="52"/>
      <c r="K1449" s="52"/>
      <c r="L1449" s="52"/>
      <c r="M1449" s="52"/>
      <c r="N1449" s="52"/>
      <c r="O1449" s="52"/>
      <c r="P1449" s="52"/>
      <c r="Q1449" s="52"/>
      <c r="R1449" s="52"/>
      <c r="S1449" s="52"/>
      <c r="T1449" s="52"/>
      <c r="U1449" s="52"/>
      <c r="V1449" s="52"/>
      <c r="W1449" s="52"/>
      <c r="X1449" s="52"/>
      <c r="Y1449" s="52"/>
      <c r="Z1449" s="52"/>
    </row>
    <row r="1450" spans="1:26" ht="15.75" customHeight="1">
      <c r="A1450" s="52"/>
      <c r="B1450" s="52"/>
      <c r="C1450" s="52"/>
      <c r="D1450" s="52"/>
      <c r="E1450" s="52"/>
      <c r="F1450" s="71"/>
      <c r="G1450" s="52"/>
      <c r="H1450" s="52"/>
      <c r="I1450" s="52"/>
      <c r="J1450" s="52"/>
      <c r="K1450" s="52"/>
      <c r="L1450" s="52"/>
      <c r="M1450" s="52"/>
      <c r="N1450" s="52"/>
      <c r="O1450" s="52"/>
      <c r="P1450" s="52"/>
      <c r="Q1450" s="52"/>
      <c r="R1450" s="52"/>
      <c r="S1450" s="52"/>
      <c r="T1450" s="52"/>
      <c r="U1450" s="52"/>
      <c r="V1450" s="52"/>
      <c r="W1450" s="52"/>
      <c r="X1450" s="52"/>
      <c r="Y1450" s="52"/>
      <c r="Z1450" s="52"/>
    </row>
    <row r="1451" spans="1:26" ht="15.75" customHeight="1">
      <c r="A1451" s="52"/>
      <c r="B1451" s="52"/>
      <c r="C1451" s="52"/>
      <c r="D1451" s="52"/>
      <c r="E1451" s="52"/>
      <c r="F1451" s="71"/>
      <c r="G1451" s="52"/>
      <c r="H1451" s="52"/>
      <c r="I1451" s="52"/>
      <c r="J1451" s="52"/>
      <c r="K1451" s="52"/>
      <c r="L1451" s="52"/>
      <c r="M1451" s="52"/>
      <c r="N1451" s="52"/>
      <c r="O1451" s="52"/>
      <c r="P1451" s="52"/>
      <c r="Q1451" s="52"/>
      <c r="R1451" s="52"/>
      <c r="S1451" s="52"/>
      <c r="T1451" s="52"/>
      <c r="U1451" s="52"/>
      <c r="V1451" s="52"/>
      <c r="W1451" s="52"/>
      <c r="X1451" s="52"/>
      <c r="Y1451" s="52"/>
      <c r="Z1451" s="52"/>
    </row>
    <row r="1452" spans="1:26" ht="15.75" customHeight="1">
      <c r="A1452" s="52"/>
      <c r="B1452" s="52"/>
      <c r="C1452" s="52"/>
      <c r="D1452" s="52"/>
      <c r="E1452" s="52"/>
      <c r="F1452" s="71"/>
      <c r="G1452" s="52"/>
      <c r="H1452" s="52"/>
      <c r="I1452" s="52"/>
      <c r="J1452" s="52"/>
      <c r="K1452" s="52"/>
      <c r="L1452" s="52"/>
      <c r="M1452" s="52"/>
      <c r="N1452" s="52"/>
      <c r="O1452" s="52"/>
      <c r="P1452" s="52"/>
      <c r="Q1452" s="52"/>
      <c r="R1452" s="52"/>
      <c r="S1452" s="52"/>
      <c r="T1452" s="52"/>
      <c r="U1452" s="52"/>
      <c r="V1452" s="52"/>
      <c r="W1452" s="52"/>
      <c r="X1452" s="52"/>
      <c r="Y1452" s="52"/>
      <c r="Z1452" s="52"/>
    </row>
    <row r="1453" spans="1:26" ht="15.75" customHeight="1">
      <c r="A1453" s="52"/>
      <c r="B1453" s="52"/>
      <c r="C1453" s="52"/>
      <c r="D1453" s="52"/>
      <c r="E1453" s="52"/>
      <c r="F1453" s="71"/>
      <c r="G1453" s="52"/>
      <c r="H1453" s="52"/>
      <c r="I1453" s="52"/>
      <c r="J1453" s="52"/>
      <c r="K1453" s="52"/>
      <c r="L1453" s="52"/>
      <c r="M1453" s="52"/>
      <c r="N1453" s="52"/>
      <c r="O1453" s="52"/>
      <c r="P1453" s="52"/>
      <c r="Q1453" s="52"/>
      <c r="R1453" s="52"/>
      <c r="S1453" s="52"/>
      <c r="T1453" s="52"/>
      <c r="U1453" s="52"/>
      <c r="V1453" s="52"/>
      <c r="W1453" s="52"/>
      <c r="X1453" s="52"/>
      <c r="Y1453" s="52"/>
      <c r="Z1453" s="52"/>
    </row>
    <row r="1454" spans="1:26" ht="15.75" customHeight="1">
      <c r="A1454" s="52"/>
      <c r="B1454" s="52"/>
      <c r="C1454" s="52"/>
      <c r="D1454" s="52"/>
      <c r="E1454" s="52"/>
      <c r="F1454" s="71"/>
      <c r="G1454" s="52"/>
      <c r="H1454" s="52"/>
      <c r="I1454" s="52"/>
      <c r="J1454" s="52"/>
      <c r="K1454" s="52"/>
      <c r="L1454" s="52"/>
      <c r="M1454" s="52"/>
      <c r="N1454" s="52"/>
      <c r="O1454" s="52"/>
      <c r="P1454" s="52"/>
      <c r="Q1454" s="52"/>
      <c r="R1454" s="52"/>
      <c r="S1454" s="52"/>
      <c r="T1454" s="52"/>
      <c r="U1454" s="52"/>
      <c r="V1454" s="52"/>
      <c r="W1454" s="52"/>
      <c r="X1454" s="52"/>
      <c r="Y1454" s="52"/>
      <c r="Z1454" s="52"/>
    </row>
    <row r="1455" spans="1:26" ht="15.75" customHeight="1">
      <c r="A1455" s="52"/>
      <c r="B1455" s="52"/>
      <c r="C1455" s="52"/>
      <c r="D1455" s="52"/>
      <c r="E1455" s="52"/>
      <c r="F1455" s="71"/>
      <c r="G1455" s="52"/>
      <c r="H1455" s="52"/>
      <c r="I1455" s="52"/>
      <c r="J1455" s="52"/>
      <c r="K1455" s="52"/>
      <c r="L1455" s="52"/>
      <c r="M1455" s="52"/>
      <c r="N1455" s="52"/>
      <c r="O1455" s="52"/>
      <c r="P1455" s="52"/>
      <c r="Q1455" s="52"/>
      <c r="R1455" s="52"/>
      <c r="S1455" s="52"/>
      <c r="T1455" s="52"/>
      <c r="U1455" s="52"/>
      <c r="V1455" s="52"/>
      <c r="W1455" s="52"/>
      <c r="X1455" s="52"/>
      <c r="Y1455" s="52"/>
      <c r="Z1455" s="52"/>
    </row>
    <row r="1456" spans="1:26" ht="15.75" customHeight="1">
      <c r="A1456" s="52"/>
      <c r="B1456" s="52"/>
      <c r="C1456" s="52"/>
      <c r="D1456" s="52"/>
      <c r="E1456" s="52"/>
      <c r="F1456" s="71"/>
      <c r="G1456" s="52"/>
      <c r="H1456" s="52"/>
      <c r="I1456" s="52"/>
      <c r="J1456" s="52"/>
      <c r="K1456" s="52"/>
      <c r="L1456" s="52"/>
      <c r="M1456" s="52"/>
      <c r="N1456" s="52"/>
      <c r="O1456" s="52"/>
      <c r="P1456" s="52"/>
      <c r="Q1456" s="52"/>
      <c r="R1456" s="52"/>
      <c r="S1456" s="52"/>
      <c r="T1456" s="52"/>
      <c r="U1456" s="52"/>
      <c r="V1456" s="52"/>
      <c r="W1456" s="52"/>
      <c r="X1456" s="52"/>
      <c r="Y1456" s="52"/>
      <c r="Z1456" s="52"/>
    </row>
    <row r="1457" spans="1:26" ht="15.75" customHeight="1">
      <c r="A1457" s="52"/>
      <c r="B1457" s="52"/>
      <c r="C1457" s="52"/>
      <c r="D1457" s="52"/>
      <c r="E1457" s="52"/>
      <c r="F1457" s="71"/>
      <c r="G1457" s="52"/>
      <c r="H1457" s="52"/>
      <c r="I1457" s="52"/>
      <c r="J1457" s="52"/>
      <c r="K1457" s="52"/>
      <c r="L1457" s="52"/>
      <c r="M1457" s="52"/>
      <c r="N1457" s="52"/>
      <c r="O1457" s="52"/>
      <c r="P1457" s="52"/>
      <c r="Q1457" s="52"/>
      <c r="R1457" s="52"/>
      <c r="S1457" s="52"/>
      <c r="T1457" s="52"/>
      <c r="U1457" s="52"/>
      <c r="V1457" s="52"/>
      <c r="W1457" s="52"/>
      <c r="X1457" s="52"/>
      <c r="Y1457" s="52"/>
      <c r="Z1457" s="52"/>
    </row>
    <row r="1458" spans="1:26" ht="15.75" customHeight="1">
      <c r="A1458" s="52"/>
      <c r="B1458" s="52"/>
      <c r="C1458" s="52"/>
      <c r="D1458" s="52"/>
      <c r="E1458" s="52"/>
      <c r="F1458" s="71"/>
      <c r="G1458" s="52"/>
      <c r="H1458" s="52"/>
      <c r="I1458" s="52"/>
      <c r="J1458" s="52"/>
      <c r="K1458" s="52"/>
      <c r="L1458" s="52"/>
      <c r="M1458" s="52"/>
      <c r="N1458" s="52"/>
      <c r="O1458" s="52"/>
      <c r="P1458" s="52"/>
      <c r="Q1458" s="52"/>
      <c r="R1458" s="52"/>
      <c r="S1458" s="52"/>
      <c r="T1458" s="52"/>
      <c r="U1458" s="52"/>
      <c r="V1458" s="52"/>
      <c r="W1458" s="52"/>
      <c r="X1458" s="52"/>
      <c r="Y1458" s="52"/>
      <c r="Z1458" s="52"/>
    </row>
    <row r="1459" spans="1:26" ht="15.75" customHeight="1">
      <c r="A1459" s="52"/>
      <c r="B1459" s="52"/>
      <c r="C1459" s="52"/>
      <c r="D1459" s="52"/>
      <c r="E1459" s="52"/>
      <c r="F1459" s="71"/>
      <c r="G1459" s="52"/>
      <c r="H1459" s="52"/>
      <c r="I1459" s="52"/>
      <c r="J1459" s="52"/>
      <c r="K1459" s="52"/>
      <c r="L1459" s="52"/>
      <c r="M1459" s="52"/>
      <c r="N1459" s="52"/>
      <c r="O1459" s="52"/>
      <c r="P1459" s="52"/>
      <c r="Q1459" s="52"/>
      <c r="R1459" s="52"/>
      <c r="S1459" s="52"/>
      <c r="T1459" s="52"/>
      <c r="U1459" s="52"/>
      <c r="V1459" s="52"/>
      <c r="W1459" s="52"/>
      <c r="X1459" s="52"/>
      <c r="Y1459" s="52"/>
      <c r="Z1459" s="52"/>
    </row>
    <row r="1460" spans="1:26" ht="15.75" customHeight="1">
      <c r="A1460" s="52"/>
      <c r="B1460" s="52"/>
      <c r="C1460" s="52"/>
      <c r="D1460" s="52"/>
      <c r="E1460" s="52"/>
      <c r="F1460" s="71"/>
      <c r="G1460" s="52"/>
      <c r="H1460" s="52"/>
      <c r="I1460" s="52"/>
      <c r="J1460" s="52"/>
      <c r="K1460" s="52"/>
      <c r="L1460" s="52"/>
      <c r="M1460" s="52"/>
      <c r="N1460" s="52"/>
      <c r="O1460" s="52"/>
      <c r="P1460" s="52"/>
      <c r="Q1460" s="52"/>
      <c r="R1460" s="52"/>
      <c r="S1460" s="52"/>
      <c r="T1460" s="52"/>
      <c r="U1460" s="52"/>
      <c r="V1460" s="52"/>
      <c r="W1460" s="52"/>
      <c r="X1460" s="52"/>
      <c r="Y1460" s="52"/>
      <c r="Z1460" s="52"/>
    </row>
    <row r="1461" spans="1:26" ht="15.75" customHeight="1">
      <c r="A1461" s="52"/>
      <c r="B1461" s="52"/>
      <c r="C1461" s="52"/>
      <c r="D1461" s="52"/>
      <c r="E1461" s="52"/>
      <c r="F1461" s="71"/>
      <c r="G1461" s="52"/>
      <c r="H1461" s="52"/>
      <c r="I1461" s="52"/>
      <c r="J1461" s="52"/>
      <c r="K1461" s="52"/>
      <c r="L1461" s="52"/>
      <c r="M1461" s="52"/>
      <c r="N1461" s="52"/>
      <c r="O1461" s="52"/>
      <c r="P1461" s="52"/>
      <c r="Q1461" s="52"/>
      <c r="R1461" s="52"/>
      <c r="S1461" s="52"/>
      <c r="T1461" s="52"/>
      <c r="U1461" s="52"/>
      <c r="V1461" s="52"/>
      <c r="W1461" s="52"/>
      <c r="X1461" s="52"/>
      <c r="Y1461" s="52"/>
      <c r="Z1461" s="52"/>
    </row>
    <row r="1462" spans="1:26" ht="15.75" customHeight="1">
      <c r="A1462" s="52"/>
      <c r="B1462" s="52"/>
      <c r="C1462" s="52"/>
      <c r="D1462" s="52"/>
      <c r="E1462" s="52"/>
      <c r="F1462" s="71"/>
      <c r="G1462" s="52"/>
      <c r="H1462" s="52"/>
      <c r="I1462" s="52"/>
      <c r="J1462" s="52"/>
      <c r="K1462" s="52"/>
      <c r="L1462" s="52"/>
      <c r="M1462" s="52"/>
      <c r="N1462" s="52"/>
      <c r="O1462" s="52"/>
      <c r="P1462" s="52"/>
      <c r="Q1462" s="52"/>
      <c r="R1462" s="52"/>
      <c r="S1462" s="52"/>
      <c r="T1462" s="52"/>
      <c r="U1462" s="52"/>
      <c r="V1462" s="52"/>
      <c r="W1462" s="52"/>
      <c r="X1462" s="52"/>
      <c r="Y1462" s="52"/>
      <c r="Z1462" s="52"/>
    </row>
    <row r="1463" spans="1:26" ht="15.75" customHeight="1">
      <c r="A1463" s="52"/>
      <c r="B1463" s="52"/>
      <c r="C1463" s="52"/>
      <c r="D1463" s="52"/>
      <c r="E1463" s="52"/>
      <c r="F1463" s="71"/>
      <c r="G1463" s="52"/>
      <c r="H1463" s="52"/>
      <c r="I1463" s="52"/>
      <c r="J1463" s="52"/>
      <c r="K1463" s="52"/>
      <c r="L1463" s="52"/>
      <c r="M1463" s="52"/>
      <c r="N1463" s="52"/>
      <c r="O1463" s="52"/>
      <c r="P1463" s="52"/>
      <c r="Q1463" s="52"/>
      <c r="R1463" s="52"/>
      <c r="S1463" s="52"/>
      <c r="T1463" s="52"/>
      <c r="U1463" s="52"/>
      <c r="V1463" s="52"/>
      <c r="W1463" s="52"/>
      <c r="X1463" s="52"/>
      <c r="Y1463" s="52"/>
      <c r="Z1463" s="52"/>
    </row>
    <row r="1464" spans="1:26" ht="15.75" customHeight="1">
      <c r="A1464" s="52"/>
      <c r="B1464" s="52"/>
      <c r="C1464" s="52"/>
      <c r="D1464" s="52"/>
      <c r="E1464" s="52"/>
      <c r="F1464" s="71"/>
      <c r="G1464" s="52"/>
      <c r="H1464" s="52"/>
      <c r="I1464" s="52"/>
      <c r="J1464" s="52"/>
      <c r="K1464" s="52"/>
      <c r="L1464" s="52"/>
      <c r="M1464" s="52"/>
      <c r="N1464" s="52"/>
      <c r="O1464" s="52"/>
      <c r="P1464" s="52"/>
      <c r="Q1464" s="52"/>
      <c r="R1464" s="52"/>
      <c r="S1464" s="52"/>
      <c r="T1464" s="52"/>
      <c r="U1464" s="52"/>
      <c r="V1464" s="52"/>
      <c r="W1464" s="52"/>
      <c r="X1464" s="52"/>
      <c r="Y1464" s="52"/>
      <c r="Z1464" s="52"/>
    </row>
    <row r="1465" spans="1:26" ht="15.75" customHeight="1">
      <c r="A1465" s="52"/>
      <c r="B1465" s="52"/>
      <c r="C1465" s="52"/>
      <c r="D1465" s="52"/>
      <c r="E1465" s="52"/>
      <c r="F1465" s="71"/>
      <c r="G1465" s="52"/>
      <c r="H1465" s="52"/>
      <c r="I1465" s="52"/>
      <c r="J1465" s="52"/>
      <c r="K1465" s="52"/>
      <c r="L1465" s="52"/>
      <c r="M1465" s="52"/>
      <c r="N1465" s="52"/>
      <c r="O1465" s="52"/>
      <c r="P1465" s="52"/>
      <c r="Q1465" s="52"/>
      <c r="R1465" s="52"/>
      <c r="S1465" s="52"/>
      <c r="T1465" s="52"/>
      <c r="U1465" s="52"/>
      <c r="V1465" s="52"/>
      <c r="W1465" s="52"/>
      <c r="X1465" s="52"/>
      <c r="Y1465" s="52"/>
      <c r="Z1465" s="52"/>
    </row>
    <row r="1466" spans="1:26" ht="15.75" customHeight="1">
      <c r="A1466" s="52"/>
      <c r="B1466" s="52"/>
      <c r="C1466" s="52"/>
      <c r="D1466" s="52"/>
      <c r="E1466" s="52"/>
      <c r="F1466" s="71"/>
      <c r="G1466" s="52"/>
      <c r="H1466" s="52"/>
      <c r="I1466" s="52"/>
      <c r="J1466" s="52"/>
      <c r="K1466" s="52"/>
      <c r="L1466" s="52"/>
      <c r="M1466" s="52"/>
      <c r="N1466" s="52"/>
      <c r="O1466" s="52"/>
      <c r="P1466" s="52"/>
      <c r="Q1466" s="52"/>
      <c r="R1466" s="52"/>
      <c r="S1466" s="52"/>
      <c r="T1466" s="52"/>
      <c r="U1466" s="52"/>
      <c r="V1466" s="52"/>
      <c r="W1466" s="52"/>
      <c r="X1466" s="52"/>
      <c r="Y1466" s="52"/>
      <c r="Z1466" s="52"/>
    </row>
    <row r="1467" spans="1:26" ht="15.75" customHeight="1">
      <c r="A1467" s="52"/>
      <c r="B1467" s="52"/>
      <c r="C1467" s="52"/>
      <c r="D1467" s="52"/>
      <c r="E1467" s="52"/>
      <c r="F1467" s="71"/>
      <c r="G1467" s="52"/>
      <c r="H1467" s="52"/>
      <c r="I1467" s="52"/>
      <c r="J1467" s="52"/>
      <c r="K1467" s="52"/>
      <c r="L1467" s="52"/>
      <c r="M1467" s="52"/>
      <c r="N1467" s="52"/>
      <c r="O1467" s="52"/>
      <c r="P1467" s="52"/>
      <c r="Q1467" s="52"/>
      <c r="R1467" s="52"/>
      <c r="S1467" s="52"/>
      <c r="T1467" s="52"/>
      <c r="U1467" s="52"/>
      <c r="V1467" s="52"/>
      <c r="W1467" s="52"/>
      <c r="X1467" s="52"/>
      <c r="Y1467" s="52"/>
      <c r="Z1467" s="52"/>
    </row>
    <row r="1468" spans="1:26" ht="15.75" customHeight="1">
      <c r="A1468" s="52"/>
      <c r="B1468" s="52"/>
      <c r="C1468" s="52"/>
      <c r="D1468" s="52"/>
      <c r="E1468" s="52"/>
      <c r="F1468" s="71"/>
      <c r="G1468" s="52"/>
      <c r="H1468" s="52"/>
      <c r="I1468" s="52"/>
      <c r="J1468" s="52"/>
      <c r="K1468" s="52"/>
      <c r="L1468" s="52"/>
      <c r="M1468" s="52"/>
      <c r="N1468" s="52"/>
      <c r="O1468" s="52"/>
      <c r="P1468" s="52"/>
      <c r="Q1468" s="52"/>
      <c r="R1468" s="52"/>
      <c r="S1468" s="52"/>
      <c r="T1468" s="52"/>
      <c r="U1468" s="52"/>
      <c r="V1468" s="52"/>
      <c r="W1468" s="52"/>
      <c r="X1468" s="52"/>
      <c r="Y1468" s="52"/>
      <c r="Z1468" s="52"/>
    </row>
    <row r="1469" spans="1:26" ht="15.75" customHeight="1">
      <c r="A1469" s="52"/>
      <c r="B1469" s="52"/>
      <c r="C1469" s="52"/>
      <c r="D1469" s="52"/>
      <c r="E1469" s="52"/>
      <c r="F1469" s="71"/>
      <c r="G1469" s="52"/>
      <c r="H1469" s="52"/>
      <c r="I1469" s="52"/>
      <c r="J1469" s="52"/>
      <c r="K1469" s="52"/>
      <c r="L1469" s="52"/>
      <c r="M1469" s="52"/>
      <c r="N1469" s="52"/>
      <c r="O1469" s="52"/>
      <c r="P1469" s="52"/>
      <c r="Q1469" s="52"/>
      <c r="R1469" s="52"/>
      <c r="S1469" s="52"/>
      <c r="T1469" s="52"/>
      <c r="U1469" s="52"/>
      <c r="V1469" s="52"/>
      <c r="W1469" s="52"/>
      <c r="X1469" s="52"/>
      <c r="Y1469" s="52"/>
      <c r="Z1469" s="52"/>
    </row>
    <row r="1470" spans="1:26" ht="15.75" customHeight="1">
      <c r="A1470" s="52"/>
      <c r="B1470" s="52"/>
      <c r="C1470" s="52"/>
      <c r="D1470" s="52"/>
      <c r="E1470" s="52"/>
      <c r="F1470" s="71"/>
      <c r="G1470" s="52"/>
      <c r="H1470" s="52"/>
      <c r="I1470" s="52"/>
      <c r="J1470" s="52"/>
      <c r="K1470" s="52"/>
      <c r="L1470" s="52"/>
      <c r="M1470" s="52"/>
      <c r="N1470" s="52"/>
      <c r="O1470" s="52"/>
      <c r="P1470" s="52"/>
      <c r="Q1470" s="52"/>
      <c r="R1470" s="52"/>
      <c r="S1470" s="52"/>
      <c r="T1470" s="52"/>
      <c r="U1470" s="52"/>
      <c r="V1470" s="52"/>
      <c r="W1470" s="52"/>
      <c r="X1470" s="52"/>
      <c r="Y1470" s="52"/>
      <c r="Z1470" s="52"/>
    </row>
    <row r="1471" spans="1:26" ht="15.75" customHeight="1">
      <c r="A1471" s="52"/>
      <c r="B1471" s="52"/>
      <c r="C1471" s="52"/>
      <c r="D1471" s="52"/>
      <c r="E1471" s="52"/>
      <c r="F1471" s="71"/>
      <c r="G1471" s="52"/>
      <c r="H1471" s="52"/>
      <c r="I1471" s="52"/>
      <c r="J1471" s="52"/>
      <c r="K1471" s="52"/>
      <c r="L1471" s="52"/>
      <c r="M1471" s="52"/>
      <c r="N1471" s="52"/>
      <c r="O1471" s="52"/>
      <c r="P1471" s="52"/>
      <c r="Q1471" s="52"/>
      <c r="R1471" s="52"/>
      <c r="S1471" s="52"/>
      <c r="T1471" s="52"/>
      <c r="U1471" s="52"/>
      <c r="V1471" s="52"/>
      <c r="W1471" s="52"/>
      <c r="X1471" s="52"/>
      <c r="Y1471" s="52"/>
      <c r="Z1471" s="52"/>
    </row>
    <row r="1472" spans="1:26" ht="15.75" customHeight="1">
      <c r="A1472" s="52"/>
      <c r="B1472" s="52"/>
      <c r="C1472" s="52"/>
      <c r="D1472" s="52"/>
      <c r="E1472" s="52"/>
      <c r="F1472" s="71"/>
      <c r="G1472" s="52"/>
      <c r="H1472" s="52"/>
      <c r="I1472" s="52"/>
      <c r="J1472" s="52"/>
      <c r="K1472" s="52"/>
      <c r="L1472" s="52"/>
      <c r="M1472" s="52"/>
      <c r="N1472" s="52"/>
      <c r="O1472" s="52"/>
      <c r="P1472" s="52"/>
      <c r="Q1472" s="52"/>
      <c r="R1472" s="52"/>
      <c r="S1472" s="52"/>
      <c r="T1472" s="52"/>
      <c r="U1472" s="52"/>
      <c r="V1472" s="52"/>
      <c r="W1472" s="52"/>
      <c r="X1472" s="52"/>
      <c r="Y1472" s="52"/>
      <c r="Z1472" s="52"/>
    </row>
    <row r="1473" spans="1:26" ht="15.75" customHeight="1">
      <c r="A1473" s="52"/>
      <c r="B1473" s="52"/>
      <c r="C1473" s="52"/>
      <c r="D1473" s="52"/>
      <c r="E1473" s="52"/>
      <c r="F1473" s="71"/>
      <c r="G1473" s="52"/>
      <c r="H1473" s="52"/>
      <c r="I1473" s="52"/>
      <c r="J1473" s="52"/>
      <c r="K1473" s="52"/>
      <c r="L1473" s="52"/>
      <c r="M1473" s="52"/>
      <c r="N1473" s="52"/>
      <c r="O1473" s="52"/>
      <c r="P1473" s="52"/>
      <c r="Q1473" s="52"/>
      <c r="R1473" s="52"/>
      <c r="S1473" s="52"/>
      <c r="T1473" s="52"/>
      <c r="U1473" s="52"/>
      <c r="V1473" s="52"/>
      <c r="W1473" s="52"/>
      <c r="X1473" s="52"/>
      <c r="Y1473" s="52"/>
      <c r="Z1473" s="52"/>
    </row>
    <row r="1474" spans="1:26" ht="15.75" customHeight="1">
      <c r="A1474" s="52"/>
      <c r="B1474" s="52"/>
      <c r="C1474" s="52"/>
      <c r="D1474" s="52"/>
      <c r="E1474" s="52"/>
      <c r="F1474" s="71"/>
      <c r="G1474" s="52"/>
      <c r="H1474" s="52"/>
      <c r="I1474" s="52"/>
      <c r="J1474" s="52"/>
      <c r="K1474" s="52"/>
      <c r="L1474" s="52"/>
      <c r="M1474" s="52"/>
      <c r="N1474" s="52"/>
      <c r="O1474" s="52"/>
      <c r="P1474" s="52"/>
      <c r="Q1474" s="52"/>
      <c r="R1474" s="52"/>
      <c r="S1474" s="52"/>
      <c r="T1474" s="52"/>
      <c r="U1474" s="52"/>
      <c r="V1474" s="52"/>
      <c r="W1474" s="52"/>
      <c r="X1474" s="52"/>
      <c r="Y1474" s="52"/>
      <c r="Z1474" s="52"/>
    </row>
    <row r="1475" spans="1:26" ht="15.75" customHeight="1">
      <c r="A1475" s="52"/>
      <c r="B1475" s="52"/>
      <c r="C1475" s="52"/>
      <c r="D1475" s="52"/>
      <c r="E1475" s="52"/>
      <c r="F1475" s="71"/>
      <c r="G1475" s="52"/>
      <c r="H1475" s="52"/>
      <c r="I1475" s="52"/>
      <c r="J1475" s="52"/>
      <c r="K1475" s="52"/>
      <c r="L1475" s="52"/>
      <c r="M1475" s="52"/>
      <c r="N1475" s="52"/>
      <c r="O1475" s="52"/>
      <c r="P1475" s="52"/>
      <c r="Q1475" s="52"/>
      <c r="R1475" s="52"/>
      <c r="S1475" s="52"/>
      <c r="T1475" s="52"/>
      <c r="U1475" s="52"/>
      <c r="V1475" s="52"/>
      <c r="W1475" s="52"/>
      <c r="X1475" s="52"/>
      <c r="Y1475" s="52"/>
      <c r="Z1475" s="52"/>
    </row>
    <row r="1476" spans="1:26" ht="15.75" customHeight="1">
      <c r="A1476" s="52"/>
      <c r="B1476" s="52"/>
      <c r="C1476" s="52"/>
      <c r="D1476" s="52"/>
      <c r="E1476" s="52"/>
      <c r="F1476" s="71"/>
      <c r="G1476" s="52"/>
      <c r="H1476" s="52"/>
      <c r="I1476" s="52"/>
      <c r="J1476" s="52"/>
      <c r="K1476" s="52"/>
      <c r="L1476" s="52"/>
      <c r="M1476" s="52"/>
      <c r="N1476" s="52"/>
      <c r="O1476" s="52"/>
      <c r="P1476" s="52"/>
      <c r="Q1476" s="52"/>
      <c r="R1476" s="52"/>
      <c r="S1476" s="52"/>
      <c r="T1476" s="52"/>
      <c r="U1476" s="52"/>
      <c r="V1476" s="52"/>
      <c r="W1476" s="52"/>
      <c r="X1476" s="52"/>
      <c r="Y1476" s="52"/>
      <c r="Z1476" s="52"/>
    </row>
    <row r="1477" spans="1:26" ht="15.75" customHeight="1">
      <c r="A1477" s="52"/>
      <c r="B1477" s="52"/>
      <c r="C1477" s="52"/>
      <c r="D1477" s="52"/>
      <c r="E1477" s="52"/>
      <c r="F1477" s="71"/>
      <c r="G1477" s="52"/>
      <c r="H1477" s="52"/>
      <c r="I1477" s="52"/>
      <c r="J1477" s="52"/>
      <c r="K1477" s="52"/>
      <c r="L1477" s="52"/>
      <c r="M1477" s="52"/>
      <c r="N1477" s="52"/>
      <c r="O1477" s="52"/>
      <c r="P1477" s="52"/>
      <c r="Q1477" s="52"/>
      <c r="R1477" s="52"/>
      <c r="S1477" s="52"/>
      <c r="T1477" s="52"/>
      <c r="U1477" s="52"/>
      <c r="V1477" s="52"/>
      <c r="W1477" s="52"/>
      <c r="X1477" s="52"/>
      <c r="Y1477" s="52"/>
      <c r="Z1477" s="52"/>
    </row>
    <row r="1478" spans="1:26" ht="15.75" customHeight="1">
      <c r="A1478" s="52"/>
      <c r="B1478" s="52"/>
      <c r="C1478" s="52"/>
      <c r="D1478" s="52"/>
      <c r="E1478" s="52"/>
      <c r="F1478" s="71"/>
      <c r="G1478" s="52"/>
      <c r="H1478" s="52"/>
      <c r="I1478" s="52"/>
      <c r="J1478" s="52"/>
      <c r="K1478" s="52"/>
      <c r="L1478" s="52"/>
      <c r="M1478" s="52"/>
      <c r="N1478" s="52"/>
      <c r="O1478" s="52"/>
      <c r="P1478" s="52"/>
      <c r="Q1478" s="52"/>
      <c r="R1478" s="52"/>
      <c r="S1478" s="52"/>
      <c r="T1478" s="52"/>
      <c r="U1478" s="52"/>
      <c r="V1478" s="52"/>
      <c r="W1478" s="52"/>
      <c r="X1478" s="52"/>
      <c r="Y1478" s="52"/>
      <c r="Z1478" s="52"/>
    </row>
    <row r="1479" spans="1:26" ht="15.75" customHeight="1">
      <c r="A1479" s="52"/>
      <c r="B1479" s="52"/>
      <c r="C1479" s="52"/>
      <c r="D1479" s="52"/>
      <c r="E1479" s="52"/>
      <c r="F1479" s="71"/>
      <c r="G1479" s="52"/>
      <c r="H1479" s="52"/>
      <c r="I1479" s="52"/>
      <c r="J1479" s="52"/>
      <c r="K1479" s="52"/>
      <c r="L1479" s="52"/>
      <c r="M1479" s="52"/>
      <c r="N1479" s="52"/>
      <c r="O1479" s="52"/>
      <c r="P1479" s="52"/>
      <c r="Q1479" s="52"/>
      <c r="R1479" s="52"/>
      <c r="S1479" s="52"/>
      <c r="T1479" s="52"/>
      <c r="U1479" s="52"/>
      <c r="V1479" s="52"/>
      <c r="W1479" s="52"/>
      <c r="X1479" s="52"/>
      <c r="Y1479" s="52"/>
      <c r="Z1479" s="52"/>
    </row>
    <row r="1480" spans="1:26" ht="15.75" customHeight="1">
      <c r="A1480" s="52"/>
      <c r="B1480" s="52"/>
      <c r="C1480" s="52"/>
      <c r="D1480" s="52"/>
      <c r="E1480" s="52"/>
      <c r="F1480" s="71"/>
      <c r="G1480" s="52"/>
      <c r="H1480" s="52"/>
      <c r="I1480" s="52"/>
      <c r="J1480" s="52"/>
      <c r="K1480" s="52"/>
      <c r="L1480" s="52"/>
      <c r="M1480" s="52"/>
      <c r="N1480" s="52"/>
      <c r="O1480" s="52"/>
      <c r="P1480" s="52"/>
      <c r="Q1480" s="52"/>
      <c r="R1480" s="52"/>
      <c r="S1480" s="52"/>
      <c r="T1480" s="52"/>
      <c r="U1480" s="52"/>
      <c r="V1480" s="52"/>
      <c r="W1480" s="52"/>
      <c r="X1480" s="52"/>
      <c r="Y1480" s="52"/>
      <c r="Z1480" s="52"/>
    </row>
    <row r="1481" spans="1:26" ht="15.75" customHeight="1">
      <c r="A1481" s="52"/>
      <c r="B1481" s="52"/>
      <c r="C1481" s="52"/>
      <c r="D1481" s="52"/>
      <c r="E1481" s="52"/>
      <c r="F1481" s="71"/>
      <c r="G1481" s="52"/>
      <c r="H1481" s="52"/>
      <c r="I1481" s="52"/>
      <c r="J1481" s="52"/>
      <c r="K1481" s="52"/>
      <c r="L1481" s="52"/>
      <c r="M1481" s="52"/>
      <c r="N1481" s="52"/>
      <c r="O1481" s="52"/>
      <c r="P1481" s="52"/>
      <c r="Q1481" s="52"/>
      <c r="R1481" s="52"/>
      <c r="S1481" s="52"/>
      <c r="T1481" s="52"/>
      <c r="U1481" s="52"/>
      <c r="V1481" s="52"/>
      <c r="W1481" s="52"/>
      <c r="X1481" s="52"/>
      <c r="Y1481" s="52"/>
      <c r="Z1481" s="52"/>
    </row>
    <row r="1482" spans="1:26" ht="15.75" customHeight="1">
      <c r="A1482" s="52"/>
      <c r="B1482" s="52"/>
      <c r="C1482" s="52"/>
      <c r="D1482" s="52"/>
      <c r="E1482" s="52"/>
      <c r="F1482" s="71"/>
      <c r="G1482" s="52"/>
      <c r="H1482" s="52"/>
      <c r="I1482" s="52"/>
      <c r="J1482" s="52"/>
      <c r="K1482" s="52"/>
      <c r="L1482" s="52"/>
      <c r="M1482" s="52"/>
      <c r="N1482" s="52"/>
      <c r="O1482" s="52"/>
      <c r="P1482" s="52"/>
      <c r="Q1482" s="52"/>
      <c r="R1482" s="52"/>
      <c r="S1482" s="52"/>
      <c r="T1482" s="52"/>
      <c r="U1482" s="52"/>
      <c r="V1482" s="52"/>
      <c r="W1482" s="52"/>
      <c r="X1482" s="52"/>
      <c r="Y1482" s="52"/>
      <c r="Z1482" s="52"/>
    </row>
    <row r="1483" spans="1:26" ht="15.75" customHeight="1">
      <c r="A1483" s="52"/>
      <c r="B1483" s="52"/>
      <c r="C1483" s="52"/>
      <c r="D1483" s="52"/>
      <c r="E1483" s="52"/>
      <c r="F1483" s="71"/>
      <c r="G1483" s="52"/>
      <c r="H1483" s="52"/>
      <c r="I1483" s="52"/>
      <c r="J1483" s="52"/>
      <c r="K1483" s="52"/>
      <c r="L1483" s="52"/>
      <c r="M1483" s="52"/>
      <c r="N1483" s="52"/>
      <c r="O1483" s="52"/>
      <c r="P1483" s="52"/>
      <c r="Q1483" s="52"/>
      <c r="R1483" s="52"/>
      <c r="S1483" s="52"/>
      <c r="T1483" s="52"/>
      <c r="U1483" s="52"/>
      <c r="V1483" s="52"/>
      <c r="W1483" s="52"/>
      <c r="X1483" s="52"/>
      <c r="Y1483" s="52"/>
      <c r="Z1483" s="52"/>
    </row>
    <row r="1484" spans="1:26" ht="15.75" customHeight="1">
      <c r="A1484" s="52"/>
      <c r="B1484" s="52"/>
      <c r="C1484" s="52"/>
      <c r="D1484" s="52"/>
      <c r="E1484" s="52"/>
      <c r="F1484" s="71"/>
      <c r="G1484" s="52"/>
      <c r="H1484" s="52"/>
      <c r="I1484" s="52"/>
      <c r="J1484" s="52"/>
      <c r="K1484" s="52"/>
      <c r="L1484" s="52"/>
      <c r="M1484" s="52"/>
      <c r="N1484" s="52"/>
      <c r="O1484" s="52"/>
      <c r="P1484" s="52"/>
      <c r="Q1484" s="52"/>
      <c r="R1484" s="52"/>
      <c r="S1484" s="52"/>
      <c r="T1484" s="52"/>
      <c r="U1484" s="52"/>
      <c r="V1484" s="52"/>
      <c r="W1484" s="52"/>
      <c r="X1484" s="52"/>
      <c r="Y1484" s="52"/>
      <c r="Z1484" s="52"/>
    </row>
    <row r="1485" spans="1:26" ht="15.75" customHeight="1">
      <c r="A1485" s="52"/>
      <c r="B1485" s="52"/>
      <c r="C1485" s="52"/>
      <c r="D1485" s="52"/>
      <c r="E1485" s="52"/>
      <c r="F1485" s="71"/>
      <c r="G1485" s="52"/>
      <c r="H1485" s="52"/>
      <c r="I1485" s="52"/>
      <c r="J1485" s="52"/>
      <c r="K1485" s="52"/>
      <c r="L1485" s="52"/>
      <c r="M1485" s="52"/>
      <c r="N1485" s="52"/>
      <c r="O1485" s="52"/>
      <c r="P1485" s="52"/>
      <c r="Q1485" s="52"/>
      <c r="R1485" s="52"/>
      <c r="S1485" s="52"/>
      <c r="T1485" s="52"/>
      <c r="U1485" s="52"/>
      <c r="V1485" s="52"/>
      <c r="W1485" s="52"/>
      <c r="X1485" s="52"/>
      <c r="Y1485" s="52"/>
      <c r="Z1485" s="52"/>
    </row>
    <row r="1486" spans="1:26" ht="15.75" customHeight="1">
      <c r="A1486" s="52"/>
      <c r="B1486" s="52"/>
      <c r="C1486" s="52"/>
      <c r="D1486" s="52"/>
      <c r="E1486" s="52"/>
      <c r="F1486" s="71"/>
      <c r="G1486" s="52"/>
      <c r="H1486" s="52"/>
      <c r="I1486" s="52"/>
      <c r="J1486" s="52"/>
      <c r="K1486" s="52"/>
      <c r="L1486" s="52"/>
      <c r="M1486" s="52"/>
      <c r="N1486" s="52"/>
      <c r="O1486" s="52"/>
      <c r="P1486" s="52"/>
      <c r="Q1486" s="52"/>
      <c r="R1486" s="52"/>
      <c r="S1486" s="52"/>
      <c r="T1486" s="52"/>
      <c r="U1486" s="52"/>
      <c r="V1486" s="52"/>
      <c r="W1486" s="52"/>
      <c r="X1486" s="52"/>
      <c r="Y1486" s="52"/>
      <c r="Z1486" s="52"/>
    </row>
    <row r="1487" spans="1:26" ht="15.75" customHeight="1">
      <c r="A1487" s="52"/>
      <c r="B1487" s="52"/>
      <c r="C1487" s="52"/>
      <c r="D1487" s="52"/>
      <c r="E1487" s="52"/>
      <c r="F1487" s="71"/>
      <c r="G1487" s="52"/>
      <c r="H1487" s="52"/>
      <c r="I1487" s="52"/>
      <c r="J1487" s="52"/>
      <c r="K1487" s="52"/>
      <c r="L1487" s="52"/>
      <c r="M1487" s="52"/>
      <c r="N1487" s="52"/>
      <c r="O1487" s="52"/>
      <c r="P1487" s="52"/>
      <c r="Q1487" s="52"/>
      <c r="R1487" s="52"/>
      <c r="S1487" s="52"/>
      <c r="T1487" s="52"/>
      <c r="U1487" s="52"/>
      <c r="V1487" s="52"/>
      <c r="W1487" s="52"/>
      <c r="X1487" s="52"/>
      <c r="Y1487" s="52"/>
      <c r="Z1487" s="52"/>
    </row>
    <row r="1488" spans="1:26" ht="15.75" customHeight="1">
      <c r="A1488" s="52"/>
      <c r="B1488" s="52"/>
      <c r="C1488" s="52"/>
      <c r="D1488" s="52"/>
      <c r="E1488" s="52"/>
      <c r="F1488" s="71"/>
      <c r="G1488" s="52"/>
      <c r="H1488" s="52"/>
      <c r="I1488" s="52"/>
      <c r="J1488" s="52"/>
      <c r="K1488" s="52"/>
      <c r="L1488" s="52"/>
      <c r="M1488" s="52"/>
      <c r="N1488" s="52"/>
      <c r="O1488" s="52"/>
      <c r="P1488" s="52"/>
      <c r="Q1488" s="52"/>
      <c r="R1488" s="52"/>
      <c r="S1488" s="52"/>
      <c r="T1488" s="52"/>
      <c r="U1488" s="52"/>
      <c r="V1488" s="52"/>
      <c r="W1488" s="52"/>
      <c r="X1488" s="52"/>
      <c r="Y1488" s="52"/>
      <c r="Z1488" s="52"/>
    </row>
    <row r="1489" spans="1:26" ht="15.75" customHeight="1">
      <c r="A1489" s="52"/>
      <c r="B1489" s="52"/>
      <c r="C1489" s="52"/>
      <c r="D1489" s="52"/>
      <c r="E1489" s="52"/>
      <c r="F1489" s="71"/>
      <c r="G1489" s="52"/>
      <c r="H1489" s="52"/>
      <c r="I1489" s="52"/>
      <c r="J1489" s="52"/>
      <c r="K1489" s="52"/>
      <c r="L1489" s="52"/>
      <c r="M1489" s="52"/>
      <c r="N1489" s="52"/>
      <c r="O1489" s="52"/>
      <c r="P1489" s="52"/>
      <c r="Q1489" s="52"/>
      <c r="R1489" s="52"/>
      <c r="S1489" s="52"/>
      <c r="T1489" s="52"/>
      <c r="U1489" s="52"/>
      <c r="V1489" s="52"/>
      <c r="W1489" s="52"/>
      <c r="X1489" s="52"/>
      <c r="Y1489" s="52"/>
      <c r="Z1489" s="52"/>
    </row>
    <row r="1490" spans="1:26" ht="15.75" customHeight="1">
      <c r="A1490" s="52"/>
      <c r="B1490" s="52"/>
      <c r="C1490" s="52"/>
      <c r="D1490" s="52"/>
      <c r="E1490" s="52"/>
      <c r="F1490" s="71"/>
      <c r="G1490" s="52"/>
      <c r="H1490" s="52"/>
      <c r="I1490" s="52"/>
      <c r="J1490" s="52"/>
      <c r="K1490" s="52"/>
      <c r="L1490" s="52"/>
      <c r="M1490" s="52"/>
      <c r="N1490" s="52"/>
      <c r="O1490" s="52"/>
      <c r="P1490" s="52"/>
      <c r="Q1490" s="52"/>
      <c r="R1490" s="52"/>
      <c r="S1490" s="52"/>
      <c r="T1490" s="52"/>
      <c r="U1490" s="52"/>
      <c r="V1490" s="52"/>
      <c r="W1490" s="52"/>
      <c r="X1490" s="52"/>
      <c r="Y1490" s="52"/>
      <c r="Z1490" s="52"/>
    </row>
    <row r="1491" spans="1:26" ht="15.75" customHeight="1">
      <c r="A1491" s="52"/>
      <c r="B1491" s="52"/>
      <c r="C1491" s="52"/>
      <c r="D1491" s="52"/>
      <c r="E1491" s="52"/>
      <c r="F1491" s="71"/>
      <c r="G1491" s="52"/>
      <c r="H1491" s="52"/>
      <c r="I1491" s="52"/>
      <c r="J1491" s="52"/>
      <c r="K1491" s="52"/>
      <c r="L1491" s="52"/>
      <c r="M1491" s="52"/>
      <c r="N1491" s="52"/>
      <c r="O1491" s="52"/>
      <c r="P1491" s="52"/>
      <c r="Q1491" s="52"/>
      <c r="R1491" s="52"/>
      <c r="S1491" s="52"/>
      <c r="T1491" s="52"/>
      <c r="U1491" s="52"/>
      <c r="V1491" s="52"/>
      <c r="W1491" s="52"/>
      <c r="X1491" s="52"/>
      <c r="Y1491" s="52"/>
      <c r="Z1491" s="52"/>
    </row>
    <row r="1492" spans="1:26" ht="15.75" customHeight="1">
      <c r="A1492" s="52"/>
      <c r="B1492" s="52"/>
      <c r="C1492" s="52"/>
      <c r="D1492" s="52"/>
      <c r="E1492" s="52"/>
      <c r="F1492" s="71"/>
      <c r="G1492" s="52"/>
      <c r="H1492" s="52"/>
      <c r="I1492" s="52"/>
      <c r="J1492" s="52"/>
      <c r="K1492" s="52"/>
      <c r="L1492" s="52"/>
      <c r="M1492" s="52"/>
      <c r="N1492" s="52"/>
      <c r="O1492" s="52"/>
      <c r="P1492" s="52"/>
      <c r="Q1492" s="52"/>
      <c r="R1492" s="52"/>
      <c r="S1492" s="52"/>
      <c r="T1492" s="52"/>
      <c r="U1492" s="52"/>
      <c r="V1492" s="52"/>
      <c r="W1492" s="52"/>
      <c r="X1492" s="52"/>
      <c r="Y1492" s="52"/>
      <c r="Z1492" s="52"/>
    </row>
    <row r="1493" spans="1:26" ht="15.75" customHeight="1">
      <c r="A1493" s="52"/>
      <c r="B1493" s="52"/>
      <c r="C1493" s="52"/>
      <c r="D1493" s="52"/>
      <c r="E1493" s="52"/>
      <c r="F1493" s="71"/>
      <c r="G1493" s="52"/>
      <c r="H1493" s="52"/>
      <c r="I1493" s="52"/>
      <c r="J1493" s="52"/>
      <c r="K1493" s="52"/>
      <c r="L1493" s="52"/>
      <c r="M1493" s="52"/>
      <c r="N1493" s="52"/>
      <c r="O1493" s="52"/>
      <c r="P1493" s="52"/>
      <c r="Q1493" s="52"/>
      <c r="R1493" s="52"/>
      <c r="S1493" s="52"/>
      <c r="T1493" s="52"/>
      <c r="U1493" s="52"/>
      <c r="V1493" s="52"/>
      <c r="W1493" s="52"/>
      <c r="X1493" s="52"/>
      <c r="Y1493" s="52"/>
      <c r="Z1493" s="52"/>
    </row>
    <row r="1494" spans="1:26" ht="15.75" customHeight="1">
      <c r="A1494" s="52"/>
      <c r="B1494" s="52"/>
      <c r="C1494" s="52"/>
      <c r="D1494" s="52"/>
      <c r="E1494" s="52"/>
      <c r="F1494" s="71"/>
      <c r="G1494" s="52"/>
      <c r="H1494" s="52"/>
      <c r="I1494" s="52"/>
      <c r="J1494" s="52"/>
      <c r="K1494" s="52"/>
      <c r="L1494" s="52"/>
      <c r="M1494" s="52"/>
      <c r="N1494" s="52"/>
      <c r="O1494" s="52"/>
      <c r="P1494" s="52"/>
      <c r="Q1494" s="52"/>
      <c r="R1494" s="52"/>
      <c r="S1494" s="52"/>
      <c r="T1494" s="52"/>
      <c r="U1494" s="52"/>
      <c r="V1494" s="52"/>
      <c r="W1494" s="52"/>
      <c r="X1494" s="52"/>
      <c r="Y1494" s="52"/>
      <c r="Z1494" s="52"/>
    </row>
    <row r="1495" spans="1:26" ht="15.75" customHeight="1">
      <c r="A1495" s="52"/>
      <c r="B1495" s="52"/>
      <c r="C1495" s="52"/>
      <c r="D1495" s="52"/>
      <c r="E1495" s="52"/>
      <c r="F1495" s="71"/>
      <c r="G1495" s="52"/>
      <c r="H1495" s="52"/>
      <c r="I1495" s="52"/>
      <c r="J1495" s="52"/>
      <c r="K1495" s="52"/>
      <c r="L1495" s="52"/>
      <c r="M1495" s="52"/>
      <c r="N1495" s="52"/>
      <c r="O1495" s="52"/>
      <c r="P1495" s="52"/>
      <c r="Q1495" s="52"/>
      <c r="R1495" s="52"/>
      <c r="S1495" s="52"/>
      <c r="T1495" s="52"/>
      <c r="U1495" s="52"/>
      <c r="V1495" s="52"/>
      <c r="W1495" s="52"/>
      <c r="X1495" s="52"/>
      <c r="Y1495" s="52"/>
      <c r="Z1495" s="52"/>
    </row>
    <row r="1496" spans="1:26" ht="15.75" customHeight="1">
      <c r="A1496" s="52"/>
      <c r="B1496" s="52"/>
      <c r="C1496" s="52"/>
      <c r="D1496" s="52"/>
      <c r="E1496" s="52"/>
      <c r="F1496" s="71"/>
      <c r="G1496" s="52"/>
      <c r="H1496" s="52"/>
      <c r="I1496" s="52"/>
      <c r="J1496" s="52"/>
      <c r="K1496" s="52"/>
      <c r="L1496" s="52"/>
      <c r="M1496" s="52"/>
      <c r="N1496" s="52"/>
      <c r="O1496" s="52"/>
      <c r="P1496" s="52"/>
      <c r="Q1496" s="52"/>
      <c r="R1496" s="52"/>
      <c r="S1496" s="52"/>
      <c r="T1496" s="52"/>
      <c r="U1496" s="52"/>
      <c r="V1496" s="52"/>
      <c r="W1496" s="52"/>
      <c r="X1496" s="52"/>
      <c r="Y1496" s="52"/>
      <c r="Z1496" s="52"/>
    </row>
    <row r="1497" spans="1:26" ht="15.75" customHeight="1">
      <c r="A1497" s="52"/>
      <c r="B1497" s="52"/>
      <c r="C1497" s="52"/>
      <c r="D1497" s="52"/>
      <c r="E1497" s="52"/>
      <c r="F1497" s="71"/>
      <c r="G1497" s="52"/>
      <c r="H1497" s="52"/>
      <c r="I1497" s="52"/>
      <c r="J1497" s="52"/>
      <c r="K1497" s="52"/>
      <c r="L1497" s="52"/>
      <c r="M1497" s="52"/>
      <c r="N1497" s="52"/>
      <c r="O1497" s="52"/>
      <c r="P1497" s="52"/>
      <c r="Q1497" s="52"/>
      <c r="R1497" s="52"/>
      <c r="S1497" s="52"/>
      <c r="T1497" s="52"/>
      <c r="U1497" s="52"/>
      <c r="V1497" s="52"/>
      <c r="W1497" s="52"/>
      <c r="X1497" s="52"/>
      <c r="Y1497" s="52"/>
      <c r="Z1497" s="52"/>
    </row>
    <row r="1498" spans="1:26" ht="15.75" customHeight="1">
      <c r="A1498" s="52"/>
      <c r="B1498" s="52"/>
      <c r="C1498" s="52"/>
      <c r="D1498" s="52"/>
      <c r="E1498" s="52"/>
      <c r="F1498" s="71"/>
      <c r="G1498" s="52"/>
      <c r="H1498" s="52"/>
      <c r="I1498" s="52"/>
      <c r="J1498" s="52"/>
      <c r="K1498" s="52"/>
      <c r="L1498" s="52"/>
      <c r="M1498" s="52"/>
      <c r="N1498" s="52"/>
      <c r="O1498" s="52"/>
      <c r="P1498" s="52"/>
      <c r="Q1498" s="52"/>
      <c r="R1498" s="52"/>
      <c r="S1498" s="52"/>
      <c r="T1498" s="52"/>
      <c r="U1498" s="52"/>
      <c r="V1498" s="52"/>
      <c r="W1498" s="52"/>
      <c r="X1498" s="52"/>
      <c r="Y1498" s="52"/>
      <c r="Z1498" s="52"/>
    </row>
    <row r="1499" spans="1:26" ht="15.75" customHeight="1">
      <c r="A1499" s="52"/>
      <c r="B1499" s="52"/>
      <c r="C1499" s="52"/>
      <c r="D1499" s="52"/>
      <c r="E1499" s="52"/>
      <c r="F1499" s="71"/>
      <c r="G1499" s="52"/>
      <c r="H1499" s="52"/>
      <c r="I1499" s="52"/>
      <c r="J1499" s="52"/>
      <c r="K1499" s="52"/>
      <c r="L1499" s="52"/>
      <c r="M1499" s="52"/>
      <c r="N1499" s="52"/>
      <c r="O1499" s="52"/>
      <c r="P1499" s="52"/>
      <c r="Q1499" s="52"/>
      <c r="R1499" s="52"/>
      <c r="S1499" s="52"/>
      <c r="T1499" s="52"/>
      <c r="U1499" s="52"/>
      <c r="V1499" s="52"/>
      <c r="W1499" s="52"/>
      <c r="X1499" s="52"/>
      <c r="Y1499" s="52"/>
      <c r="Z1499" s="52"/>
    </row>
    <row r="1500" spans="1:26" ht="15.75" customHeight="1">
      <c r="A1500" s="52"/>
      <c r="B1500" s="52"/>
      <c r="C1500" s="52"/>
      <c r="D1500" s="52"/>
      <c r="E1500" s="52"/>
      <c r="F1500" s="71"/>
      <c r="G1500" s="52"/>
      <c r="H1500" s="52"/>
      <c r="I1500" s="52"/>
      <c r="J1500" s="52"/>
      <c r="K1500" s="52"/>
      <c r="L1500" s="52"/>
      <c r="M1500" s="52"/>
      <c r="N1500" s="52"/>
      <c r="O1500" s="52"/>
      <c r="P1500" s="52"/>
      <c r="Q1500" s="52"/>
      <c r="R1500" s="52"/>
      <c r="S1500" s="52"/>
      <c r="T1500" s="52"/>
      <c r="U1500" s="52"/>
      <c r="V1500" s="52"/>
      <c r="W1500" s="52"/>
      <c r="X1500" s="52"/>
      <c r="Y1500" s="52"/>
      <c r="Z1500" s="52"/>
    </row>
    <row r="1501" spans="1:26" ht="15.75" customHeight="1">
      <c r="A1501" s="52"/>
      <c r="B1501" s="52"/>
      <c r="C1501" s="52"/>
      <c r="D1501" s="52"/>
      <c r="E1501" s="52"/>
      <c r="F1501" s="71"/>
      <c r="G1501" s="52"/>
      <c r="H1501" s="52"/>
      <c r="I1501" s="52"/>
      <c r="J1501" s="52"/>
      <c r="K1501" s="52"/>
      <c r="L1501" s="52"/>
      <c r="M1501" s="52"/>
      <c r="N1501" s="52"/>
      <c r="O1501" s="52"/>
      <c r="P1501" s="52"/>
      <c r="Q1501" s="52"/>
      <c r="R1501" s="52"/>
      <c r="S1501" s="52"/>
      <c r="T1501" s="52"/>
      <c r="U1501" s="52"/>
      <c r="V1501" s="52"/>
      <c r="W1501" s="52"/>
      <c r="X1501" s="52"/>
      <c r="Y1501" s="52"/>
      <c r="Z1501" s="52"/>
    </row>
    <row r="1502" spans="1:26" ht="15.75" customHeight="1">
      <c r="A1502" s="52"/>
      <c r="B1502" s="52"/>
      <c r="C1502" s="52"/>
      <c r="D1502" s="52"/>
      <c r="E1502" s="52"/>
      <c r="F1502" s="71"/>
      <c r="G1502" s="52"/>
      <c r="H1502" s="52"/>
      <c r="I1502" s="52"/>
      <c r="J1502" s="52"/>
      <c r="K1502" s="52"/>
      <c r="L1502" s="52"/>
      <c r="M1502" s="52"/>
      <c r="N1502" s="52"/>
      <c r="O1502" s="52"/>
      <c r="P1502" s="52"/>
      <c r="Q1502" s="52"/>
      <c r="R1502" s="52"/>
      <c r="S1502" s="52"/>
      <c r="T1502" s="52"/>
      <c r="U1502" s="52"/>
      <c r="V1502" s="52"/>
      <c r="W1502" s="52"/>
      <c r="X1502" s="52"/>
      <c r="Y1502" s="52"/>
      <c r="Z1502" s="52"/>
    </row>
    <row r="1503" spans="1:26" ht="15.75" customHeight="1">
      <c r="A1503" s="52"/>
      <c r="B1503" s="52"/>
      <c r="C1503" s="52"/>
      <c r="D1503" s="52"/>
      <c r="E1503" s="52"/>
      <c r="F1503" s="71"/>
      <c r="G1503" s="52"/>
      <c r="H1503" s="52"/>
      <c r="I1503" s="52"/>
      <c r="J1503" s="52"/>
      <c r="K1503" s="52"/>
      <c r="L1503" s="52"/>
      <c r="M1503" s="52"/>
      <c r="N1503" s="52"/>
      <c r="O1503" s="52"/>
      <c r="P1503" s="52"/>
      <c r="Q1503" s="52"/>
      <c r="R1503" s="52"/>
      <c r="S1503" s="52"/>
      <c r="T1503" s="52"/>
      <c r="U1503" s="52"/>
      <c r="V1503" s="52"/>
      <c r="W1503" s="52"/>
      <c r="X1503" s="52"/>
      <c r="Y1503" s="52"/>
      <c r="Z1503" s="52"/>
    </row>
    <row r="1504" spans="1:26" ht="15.75" customHeight="1">
      <c r="A1504" s="52"/>
      <c r="B1504" s="52"/>
      <c r="C1504" s="52"/>
      <c r="D1504" s="52"/>
      <c r="E1504" s="52"/>
      <c r="F1504" s="71"/>
      <c r="G1504" s="52"/>
      <c r="H1504" s="52"/>
      <c r="I1504" s="52"/>
      <c r="J1504" s="52"/>
      <c r="K1504" s="52"/>
      <c r="L1504" s="52"/>
      <c r="M1504" s="52"/>
      <c r="N1504" s="52"/>
      <c r="O1504" s="52"/>
      <c r="P1504" s="52"/>
      <c r="Q1504" s="52"/>
      <c r="R1504" s="52"/>
      <c r="S1504" s="52"/>
      <c r="T1504" s="52"/>
      <c r="U1504" s="52"/>
      <c r="V1504" s="52"/>
      <c r="W1504" s="52"/>
      <c r="X1504" s="52"/>
      <c r="Y1504" s="52"/>
      <c r="Z1504" s="52"/>
    </row>
    <row r="1505" spans="1:26" ht="15.75" customHeight="1">
      <c r="A1505" s="52"/>
      <c r="B1505" s="52"/>
      <c r="C1505" s="52"/>
      <c r="D1505" s="52"/>
      <c r="E1505" s="52"/>
      <c r="F1505" s="71"/>
      <c r="G1505" s="52"/>
      <c r="H1505" s="52"/>
      <c r="I1505" s="52"/>
      <c r="J1505" s="52"/>
      <c r="K1505" s="52"/>
      <c r="L1505" s="52"/>
      <c r="M1505" s="52"/>
      <c r="N1505" s="52"/>
      <c r="O1505" s="52"/>
      <c r="P1505" s="52"/>
      <c r="Q1505" s="52"/>
      <c r="R1505" s="52"/>
      <c r="S1505" s="52"/>
      <c r="T1505" s="52"/>
      <c r="U1505" s="52"/>
      <c r="V1505" s="52"/>
      <c r="W1505" s="52"/>
      <c r="X1505" s="52"/>
      <c r="Y1505" s="52"/>
      <c r="Z1505" s="52"/>
    </row>
    <row r="1506" spans="1:26" ht="15.75" customHeight="1">
      <c r="A1506" s="52"/>
      <c r="B1506" s="52"/>
      <c r="C1506" s="52"/>
      <c r="D1506" s="52"/>
      <c r="E1506" s="52"/>
      <c r="F1506" s="71"/>
      <c r="G1506" s="52"/>
      <c r="H1506" s="52"/>
      <c r="I1506" s="52"/>
      <c r="J1506" s="52"/>
      <c r="K1506" s="52"/>
      <c r="L1506" s="52"/>
      <c r="M1506" s="52"/>
      <c r="N1506" s="52"/>
      <c r="O1506" s="52"/>
      <c r="P1506" s="52"/>
      <c r="Q1506" s="52"/>
      <c r="R1506" s="52"/>
      <c r="S1506" s="52"/>
      <c r="T1506" s="52"/>
      <c r="U1506" s="52"/>
      <c r="V1506" s="52"/>
      <c r="W1506" s="52"/>
      <c r="X1506" s="52"/>
      <c r="Y1506" s="52"/>
      <c r="Z1506" s="52"/>
    </row>
    <row r="1507" spans="1:26" ht="15.75" customHeight="1">
      <c r="A1507" s="52"/>
      <c r="B1507" s="52"/>
      <c r="C1507" s="52"/>
      <c r="D1507" s="52"/>
      <c r="E1507" s="52"/>
      <c r="F1507" s="71"/>
      <c r="G1507" s="52"/>
      <c r="H1507" s="52"/>
      <c r="I1507" s="52"/>
      <c r="J1507" s="52"/>
      <c r="K1507" s="52"/>
      <c r="L1507" s="52"/>
      <c r="M1507" s="52"/>
      <c r="N1507" s="52"/>
      <c r="O1507" s="52"/>
      <c r="P1507" s="52"/>
      <c r="Q1507" s="52"/>
      <c r="R1507" s="52"/>
      <c r="S1507" s="52"/>
      <c r="T1507" s="52"/>
      <c r="U1507" s="52"/>
      <c r="V1507" s="52"/>
      <c r="W1507" s="52"/>
      <c r="X1507" s="52"/>
      <c r="Y1507" s="52"/>
      <c r="Z1507" s="52"/>
    </row>
    <row r="1508" spans="1:26" ht="15.75" customHeight="1">
      <c r="A1508" s="52"/>
      <c r="B1508" s="52"/>
      <c r="C1508" s="52"/>
      <c r="D1508" s="52"/>
      <c r="E1508" s="52"/>
      <c r="F1508" s="71"/>
      <c r="G1508" s="52"/>
      <c r="H1508" s="52"/>
      <c r="I1508" s="52"/>
      <c r="J1508" s="52"/>
      <c r="K1508" s="52"/>
      <c r="L1508" s="52"/>
      <c r="M1508" s="52"/>
      <c r="N1508" s="52"/>
      <c r="O1508" s="52"/>
      <c r="P1508" s="52"/>
      <c r="Q1508" s="52"/>
      <c r="R1508" s="52"/>
      <c r="S1508" s="52"/>
      <c r="T1508" s="52"/>
      <c r="U1508" s="52"/>
      <c r="V1508" s="52"/>
      <c r="W1508" s="52"/>
      <c r="X1508" s="52"/>
      <c r="Y1508" s="52"/>
      <c r="Z1508" s="52"/>
    </row>
    <row r="1509" spans="1:26" ht="15.75" customHeight="1">
      <c r="A1509" s="52"/>
      <c r="B1509" s="52"/>
      <c r="C1509" s="52"/>
      <c r="D1509" s="52"/>
      <c r="E1509" s="52"/>
      <c r="F1509" s="71"/>
      <c r="G1509" s="52"/>
      <c r="H1509" s="52"/>
      <c r="I1509" s="52"/>
      <c r="J1509" s="52"/>
      <c r="K1509" s="52"/>
      <c r="L1509" s="52"/>
      <c r="M1509" s="52"/>
      <c r="N1509" s="52"/>
      <c r="O1509" s="52"/>
      <c r="P1509" s="52"/>
      <c r="Q1509" s="52"/>
      <c r="R1509" s="52"/>
      <c r="S1509" s="52"/>
      <c r="T1509" s="52"/>
      <c r="U1509" s="52"/>
      <c r="V1509" s="52"/>
      <c r="W1509" s="52"/>
      <c r="X1509" s="52"/>
      <c r="Y1509" s="52"/>
      <c r="Z1509" s="52"/>
    </row>
    <row r="1510" spans="1:26" ht="15.75" customHeight="1">
      <c r="A1510" s="52"/>
      <c r="B1510" s="52"/>
      <c r="C1510" s="52"/>
      <c r="D1510" s="52"/>
      <c r="E1510" s="52"/>
      <c r="F1510" s="71"/>
      <c r="G1510" s="52"/>
      <c r="H1510" s="52"/>
      <c r="I1510" s="52"/>
      <c r="J1510" s="52"/>
      <c r="K1510" s="52"/>
      <c r="L1510" s="52"/>
      <c r="M1510" s="52"/>
      <c r="N1510" s="52"/>
      <c r="O1510" s="52"/>
      <c r="P1510" s="52"/>
      <c r="Q1510" s="52"/>
      <c r="R1510" s="52"/>
      <c r="S1510" s="52"/>
      <c r="T1510" s="52"/>
      <c r="U1510" s="52"/>
      <c r="V1510" s="52"/>
      <c r="W1510" s="52"/>
      <c r="X1510" s="52"/>
      <c r="Y1510" s="52"/>
      <c r="Z1510" s="52"/>
    </row>
    <row r="1511" spans="1:26" ht="15.75" customHeight="1">
      <c r="A1511" s="52"/>
      <c r="B1511" s="52"/>
      <c r="C1511" s="52"/>
      <c r="D1511" s="52"/>
      <c r="E1511" s="52"/>
      <c r="F1511" s="71"/>
      <c r="G1511" s="52"/>
      <c r="H1511" s="52"/>
      <c r="I1511" s="52"/>
      <c r="J1511" s="52"/>
      <c r="K1511" s="52"/>
      <c r="L1511" s="52"/>
      <c r="M1511" s="52"/>
      <c r="N1511" s="52"/>
      <c r="O1511" s="52"/>
      <c r="P1511" s="52"/>
      <c r="Q1511" s="52"/>
      <c r="R1511" s="52"/>
      <c r="S1511" s="52"/>
      <c r="T1511" s="52"/>
      <c r="U1511" s="52"/>
      <c r="V1511" s="52"/>
      <c r="W1511" s="52"/>
      <c r="X1511" s="52"/>
      <c r="Y1511" s="52"/>
      <c r="Z1511" s="52"/>
    </row>
    <row r="1512" spans="1:26" ht="15.75" customHeight="1">
      <c r="A1512" s="52"/>
      <c r="B1512" s="52"/>
      <c r="C1512" s="52"/>
      <c r="D1512" s="52"/>
      <c r="E1512" s="52"/>
      <c r="F1512" s="71"/>
      <c r="G1512" s="52"/>
      <c r="H1512" s="52"/>
      <c r="I1512" s="52"/>
      <c r="J1512" s="52"/>
      <c r="K1512" s="52"/>
      <c r="L1512" s="52"/>
      <c r="M1512" s="52"/>
      <c r="N1512" s="52"/>
      <c r="O1512" s="52"/>
      <c r="P1512" s="52"/>
      <c r="Q1512" s="52"/>
      <c r="R1512" s="52"/>
      <c r="S1512" s="52"/>
      <c r="T1512" s="52"/>
      <c r="U1512" s="52"/>
      <c r="V1512" s="52"/>
      <c r="W1512" s="52"/>
      <c r="X1512" s="52"/>
      <c r="Y1512" s="52"/>
      <c r="Z1512" s="52"/>
    </row>
    <row r="1513" spans="1:26" ht="15.75" customHeight="1">
      <c r="A1513" s="52"/>
      <c r="B1513" s="52"/>
      <c r="C1513" s="52"/>
      <c r="D1513" s="52"/>
      <c r="E1513" s="52"/>
      <c r="F1513" s="71"/>
      <c r="G1513" s="52"/>
      <c r="H1513" s="52"/>
      <c r="I1513" s="52"/>
      <c r="J1513" s="52"/>
      <c r="K1513" s="52"/>
      <c r="L1513" s="52"/>
      <c r="M1513" s="52"/>
      <c r="N1513" s="52"/>
      <c r="O1513" s="52"/>
      <c r="P1513" s="52"/>
      <c r="Q1513" s="52"/>
      <c r="R1513" s="52"/>
      <c r="S1513" s="52"/>
      <c r="T1513" s="52"/>
      <c r="U1513" s="52"/>
      <c r="V1513" s="52"/>
      <c r="W1513" s="52"/>
      <c r="X1513" s="52"/>
      <c r="Y1513" s="52"/>
      <c r="Z1513" s="52"/>
    </row>
    <row r="1514" spans="1:26" ht="15.75" customHeight="1">
      <c r="A1514" s="52"/>
      <c r="B1514" s="52"/>
      <c r="C1514" s="52"/>
      <c r="D1514" s="52"/>
      <c r="E1514" s="52"/>
      <c r="F1514" s="71"/>
      <c r="G1514" s="52"/>
      <c r="H1514" s="52"/>
      <c r="I1514" s="52"/>
      <c r="J1514" s="52"/>
      <c r="K1514" s="52"/>
      <c r="L1514" s="52"/>
      <c r="M1514" s="52"/>
      <c r="N1514" s="52"/>
      <c r="O1514" s="52"/>
      <c r="P1514" s="52"/>
      <c r="Q1514" s="52"/>
      <c r="R1514" s="52"/>
      <c r="S1514" s="52"/>
      <c r="T1514" s="52"/>
      <c r="U1514" s="52"/>
      <c r="V1514" s="52"/>
      <c r="W1514" s="52"/>
      <c r="X1514" s="52"/>
      <c r="Y1514" s="52"/>
      <c r="Z1514" s="52"/>
    </row>
    <row r="1515" spans="1:26" ht="15.75" customHeight="1">
      <c r="A1515" s="52"/>
      <c r="B1515" s="52"/>
      <c r="C1515" s="52"/>
      <c r="D1515" s="52"/>
      <c r="E1515" s="52"/>
      <c r="F1515" s="71"/>
      <c r="G1515" s="52"/>
      <c r="H1515" s="52"/>
      <c r="I1515" s="52"/>
      <c r="J1515" s="52"/>
      <c r="K1515" s="52"/>
      <c r="L1515" s="52"/>
      <c r="M1515" s="52"/>
      <c r="N1515" s="52"/>
      <c r="O1515" s="52"/>
      <c r="P1515" s="52"/>
      <c r="Q1515" s="52"/>
      <c r="R1515" s="52"/>
      <c r="S1515" s="52"/>
      <c r="T1515" s="52"/>
      <c r="U1515" s="52"/>
      <c r="V1515" s="52"/>
      <c r="W1515" s="52"/>
      <c r="X1515" s="52"/>
      <c r="Y1515" s="52"/>
      <c r="Z1515" s="52"/>
    </row>
    <row r="1516" spans="1:26" ht="15.75" customHeight="1">
      <c r="A1516" s="52"/>
      <c r="B1516" s="52"/>
      <c r="C1516" s="52"/>
      <c r="D1516" s="52"/>
      <c r="E1516" s="52"/>
      <c r="F1516" s="71"/>
      <c r="G1516" s="52"/>
      <c r="H1516" s="52"/>
      <c r="I1516" s="52"/>
      <c r="J1516" s="52"/>
      <c r="K1516" s="52"/>
      <c r="L1516" s="52"/>
      <c r="M1516" s="52"/>
      <c r="N1516" s="52"/>
      <c r="O1516" s="52"/>
      <c r="P1516" s="52"/>
      <c r="Q1516" s="52"/>
      <c r="R1516" s="52"/>
      <c r="S1516" s="52"/>
      <c r="T1516" s="52"/>
      <c r="U1516" s="52"/>
      <c r="V1516" s="52"/>
      <c r="W1516" s="52"/>
      <c r="X1516" s="52"/>
      <c r="Y1516" s="52"/>
      <c r="Z1516" s="52"/>
    </row>
    <row r="1517" spans="1:26" ht="15.75" customHeight="1">
      <c r="A1517" s="52"/>
      <c r="B1517" s="52"/>
      <c r="C1517" s="52"/>
      <c r="D1517" s="52"/>
      <c r="E1517" s="52"/>
      <c r="F1517" s="71"/>
      <c r="G1517" s="52"/>
      <c r="H1517" s="52"/>
      <c r="I1517" s="52"/>
      <c r="J1517" s="52"/>
      <c r="K1517" s="52"/>
      <c r="L1517" s="52"/>
      <c r="M1517" s="52"/>
      <c r="N1517" s="52"/>
      <c r="O1517" s="52"/>
      <c r="P1517" s="52"/>
      <c r="Q1517" s="52"/>
      <c r="R1517" s="52"/>
      <c r="S1517" s="52"/>
      <c r="T1517" s="52"/>
      <c r="U1517" s="52"/>
      <c r="V1517" s="52"/>
      <c r="W1517" s="52"/>
      <c r="X1517" s="52"/>
      <c r="Y1517" s="52"/>
      <c r="Z1517" s="52"/>
    </row>
    <row r="1518" spans="1:26" ht="15.75" customHeight="1">
      <c r="A1518" s="52"/>
      <c r="B1518" s="52"/>
      <c r="C1518" s="52"/>
      <c r="D1518" s="52"/>
      <c r="E1518" s="52"/>
      <c r="F1518" s="71"/>
      <c r="G1518" s="52"/>
      <c r="H1518" s="52"/>
      <c r="I1518" s="52"/>
      <c r="J1518" s="52"/>
      <c r="K1518" s="52"/>
      <c r="L1518" s="52"/>
      <c r="M1518" s="52"/>
      <c r="N1518" s="52"/>
      <c r="O1518" s="52"/>
      <c r="P1518" s="52"/>
      <c r="Q1518" s="52"/>
      <c r="R1518" s="52"/>
      <c r="S1518" s="52"/>
      <c r="T1518" s="52"/>
      <c r="U1518" s="52"/>
      <c r="V1518" s="52"/>
      <c r="W1518" s="52"/>
      <c r="X1518" s="52"/>
      <c r="Y1518" s="52"/>
      <c r="Z1518" s="52"/>
    </row>
    <row r="1519" spans="1:26" ht="15.75" customHeight="1">
      <c r="A1519" s="52"/>
      <c r="B1519" s="52"/>
      <c r="C1519" s="52"/>
      <c r="D1519" s="52"/>
      <c r="E1519" s="52"/>
      <c r="F1519" s="71"/>
      <c r="G1519" s="52"/>
      <c r="H1519" s="52"/>
      <c r="I1519" s="52"/>
      <c r="J1519" s="52"/>
      <c r="K1519" s="52"/>
      <c r="L1519" s="52"/>
      <c r="M1519" s="52"/>
      <c r="N1519" s="52"/>
      <c r="O1519" s="52"/>
      <c r="P1519" s="52"/>
      <c r="Q1519" s="52"/>
      <c r="R1519" s="52"/>
      <c r="S1519" s="52"/>
      <c r="T1519" s="52"/>
      <c r="U1519" s="52"/>
      <c r="V1519" s="52"/>
      <c r="W1519" s="52"/>
      <c r="X1519" s="52"/>
      <c r="Y1519" s="52"/>
      <c r="Z1519" s="52"/>
    </row>
    <row r="1520" spans="1:26" ht="15.75" customHeight="1">
      <c r="A1520" s="52"/>
      <c r="B1520" s="52"/>
      <c r="C1520" s="52"/>
      <c r="D1520" s="52"/>
      <c r="E1520" s="52"/>
      <c r="F1520" s="71"/>
      <c r="G1520" s="52"/>
      <c r="H1520" s="52"/>
      <c r="I1520" s="52"/>
      <c r="J1520" s="52"/>
      <c r="K1520" s="52"/>
      <c r="L1520" s="52"/>
      <c r="M1520" s="52"/>
      <c r="N1520" s="52"/>
      <c r="O1520" s="52"/>
      <c r="P1520" s="52"/>
      <c r="Q1520" s="52"/>
      <c r="R1520" s="52"/>
      <c r="S1520" s="52"/>
      <c r="T1520" s="52"/>
      <c r="U1520" s="52"/>
      <c r="V1520" s="52"/>
      <c r="W1520" s="52"/>
      <c r="X1520" s="52"/>
      <c r="Y1520" s="52"/>
      <c r="Z1520" s="52"/>
    </row>
    <row r="1521" spans="1:26" ht="15.75" customHeight="1">
      <c r="A1521" s="52"/>
      <c r="B1521" s="52"/>
      <c r="C1521" s="52"/>
      <c r="D1521" s="52"/>
      <c r="E1521" s="52"/>
      <c r="F1521" s="71"/>
      <c r="G1521" s="52"/>
      <c r="H1521" s="52"/>
      <c r="I1521" s="52"/>
      <c r="J1521" s="52"/>
      <c r="K1521" s="52"/>
      <c r="L1521" s="52"/>
      <c r="M1521" s="52"/>
      <c r="N1521" s="52"/>
      <c r="O1521" s="52"/>
      <c r="P1521" s="52"/>
      <c r="Q1521" s="52"/>
      <c r="R1521" s="52"/>
      <c r="S1521" s="52"/>
      <c r="T1521" s="52"/>
      <c r="U1521" s="52"/>
      <c r="V1521" s="52"/>
      <c r="W1521" s="52"/>
      <c r="X1521" s="52"/>
      <c r="Y1521" s="52"/>
      <c r="Z1521" s="52"/>
    </row>
    <row r="1522" spans="1:26" ht="15.75" customHeight="1">
      <c r="A1522" s="52"/>
      <c r="B1522" s="52"/>
      <c r="C1522" s="52"/>
      <c r="D1522" s="52"/>
      <c r="E1522" s="52"/>
      <c r="F1522" s="71"/>
      <c r="G1522" s="52"/>
      <c r="H1522" s="52"/>
      <c r="I1522" s="52"/>
      <c r="J1522" s="52"/>
      <c r="K1522" s="52"/>
      <c r="L1522" s="52"/>
      <c r="M1522" s="52"/>
      <c r="N1522" s="52"/>
      <c r="O1522" s="52"/>
      <c r="P1522" s="52"/>
      <c r="Q1522" s="52"/>
      <c r="R1522" s="52"/>
      <c r="S1522" s="52"/>
      <c r="T1522" s="52"/>
      <c r="U1522" s="52"/>
      <c r="V1522" s="52"/>
      <c r="W1522" s="52"/>
      <c r="X1522" s="52"/>
      <c r="Y1522" s="52"/>
      <c r="Z1522" s="52"/>
    </row>
    <row r="1523" spans="1:26" ht="15.75" customHeight="1">
      <c r="A1523" s="52"/>
      <c r="B1523" s="52"/>
      <c r="C1523" s="52"/>
      <c r="D1523" s="52"/>
      <c r="E1523" s="52"/>
      <c r="F1523" s="71"/>
      <c r="G1523" s="52"/>
      <c r="H1523" s="52"/>
      <c r="I1523" s="52"/>
      <c r="J1523" s="52"/>
      <c r="K1523" s="52"/>
      <c r="L1523" s="52"/>
      <c r="M1523" s="52"/>
      <c r="N1523" s="52"/>
      <c r="O1523" s="52"/>
      <c r="P1523" s="52"/>
      <c r="Q1523" s="52"/>
      <c r="R1523" s="52"/>
      <c r="S1523" s="52"/>
      <c r="T1523" s="52"/>
      <c r="U1523" s="52"/>
      <c r="V1523" s="52"/>
      <c r="W1523" s="52"/>
      <c r="X1523" s="52"/>
      <c r="Y1523" s="52"/>
      <c r="Z1523" s="52"/>
    </row>
    <row r="1524" spans="1:26" ht="15.75" customHeight="1">
      <c r="A1524" s="52"/>
      <c r="B1524" s="52"/>
      <c r="C1524" s="52"/>
      <c r="D1524" s="52"/>
      <c r="E1524" s="52"/>
      <c r="F1524" s="71"/>
      <c r="G1524" s="52"/>
      <c r="H1524" s="52"/>
      <c r="I1524" s="52"/>
      <c r="J1524" s="52"/>
      <c r="K1524" s="52"/>
      <c r="L1524" s="52"/>
      <c r="M1524" s="52"/>
      <c r="N1524" s="52"/>
      <c r="O1524" s="52"/>
      <c r="P1524" s="52"/>
      <c r="Q1524" s="52"/>
      <c r="R1524" s="52"/>
      <c r="S1524" s="52"/>
      <c r="T1524" s="52"/>
      <c r="U1524" s="52"/>
      <c r="V1524" s="52"/>
      <c r="W1524" s="52"/>
      <c r="X1524" s="52"/>
      <c r="Y1524" s="52"/>
      <c r="Z1524" s="52"/>
    </row>
    <row r="1525" spans="1:26" ht="15.75" customHeight="1">
      <c r="A1525" s="52"/>
      <c r="B1525" s="52"/>
      <c r="C1525" s="52"/>
      <c r="D1525" s="52"/>
      <c r="E1525" s="52"/>
      <c r="F1525" s="71"/>
      <c r="G1525" s="52"/>
      <c r="H1525" s="52"/>
      <c r="I1525" s="52"/>
      <c r="J1525" s="52"/>
      <c r="K1525" s="52"/>
      <c r="L1525" s="52"/>
      <c r="M1525" s="52"/>
      <c r="N1525" s="52"/>
      <c r="O1525" s="52"/>
      <c r="P1525" s="52"/>
      <c r="Q1525" s="52"/>
      <c r="R1525" s="52"/>
      <c r="S1525" s="52"/>
      <c r="T1525" s="52"/>
      <c r="U1525" s="52"/>
      <c r="V1525" s="52"/>
      <c r="W1525" s="52"/>
      <c r="X1525" s="52"/>
      <c r="Y1525" s="52"/>
      <c r="Z1525" s="52"/>
    </row>
    <row r="1526" spans="1:26" ht="15.75" customHeight="1">
      <c r="A1526" s="52"/>
      <c r="B1526" s="52"/>
      <c r="C1526" s="52"/>
      <c r="D1526" s="52"/>
      <c r="E1526" s="52"/>
      <c r="F1526" s="71"/>
      <c r="G1526" s="52"/>
      <c r="H1526" s="52"/>
      <c r="I1526" s="52"/>
      <c r="J1526" s="52"/>
      <c r="K1526" s="52"/>
      <c r="L1526" s="52"/>
      <c r="M1526" s="52"/>
      <c r="N1526" s="52"/>
      <c r="O1526" s="52"/>
      <c r="P1526" s="52"/>
      <c r="Q1526" s="52"/>
      <c r="R1526" s="52"/>
      <c r="S1526" s="52"/>
      <c r="T1526" s="52"/>
      <c r="U1526" s="52"/>
      <c r="V1526" s="52"/>
      <c r="W1526" s="52"/>
      <c r="X1526" s="52"/>
      <c r="Y1526" s="52"/>
      <c r="Z1526" s="52"/>
    </row>
    <row r="1527" spans="1:26" ht="15.75" customHeight="1">
      <c r="A1527" s="52"/>
      <c r="B1527" s="52"/>
      <c r="C1527" s="52"/>
      <c r="D1527" s="52"/>
      <c r="E1527" s="52"/>
      <c r="F1527" s="71"/>
      <c r="G1527" s="52"/>
      <c r="H1527" s="52"/>
      <c r="I1527" s="52"/>
      <c r="J1527" s="52"/>
      <c r="K1527" s="52"/>
      <c r="L1527" s="52"/>
      <c r="M1527" s="52"/>
      <c r="N1527" s="52"/>
      <c r="O1527" s="52"/>
      <c r="P1527" s="52"/>
      <c r="Q1527" s="52"/>
      <c r="R1527" s="52"/>
      <c r="S1527" s="52"/>
      <c r="T1527" s="52"/>
      <c r="U1527" s="52"/>
      <c r="V1527" s="52"/>
      <c r="W1527" s="52"/>
      <c r="X1527" s="52"/>
      <c r="Y1527" s="52"/>
      <c r="Z1527" s="52"/>
    </row>
    <row r="1528" spans="1:26" ht="15.75" customHeight="1">
      <c r="A1528" s="52"/>
      <c r="B1528" s="52"/>
      <c r="C1528" s="52"/>
      <c r="D1528" s="52"/>
      <c r="E1528" s="52"/>
      <c r="F1528" s="71"/>
      <c r="G1528" s="52"/>
      <c r="H1528" s="52"/>
      <c r="I1528" s="52"/>
      <c r="J1528" s="52"/>
      <c r="K1528" s="52"/>
      <c r="L1528" s="52"/>
      <c r="M1528" s="52"/>
      <c r="N1528" s="52"/>
      <c r="O1528" s="52"/>
      <c r="P1528" s="52"/>
      <c r="Q1528" s="52"/>
      <c r="R1528" s="52"/>
      <c r="S1528" s="52"/>
      <c r="T1528" s="52"/>
      <c r="U1528" s="52"/>
      <c r="V1528" s="52"/>
      <c r="W1528" s="52"/>
      <c r="X1528" s="52"/>
      <c r="Y1528" s="52"/>
      <c r="Z1528" s="52"/>
    </row>
    <row r="1529" spans="1:26" ht="15.75" customHeight="1">
      <c r="A1529" s="52"/>
      <c r="B1529" s="52"/>
      <c r="C1529" s="52"/>
      <c r="D1529" s="52"/>
      <c r="E1529" s="52"/>
      <c r="F1529" s="71"/>
      <c r="G1529" s="52"/>
      <c r="H1529" s="52"/>
      <c r="I1529" s="52"/>
      <c r="J1529" s="52"/>
      <c r="K1529" s="52"/>
      <c r="L1529" s="52"/>
      <c r="M1529" s="52"/>
      <c r="N1529" s="52"/>
      <c r="O1529" s="52"/>
      <c r="P1529" s="52"/>
      <c r="Q1529" s="52"/>
      <c r="R1529" s="52"/>
      <c r="S1529" s="52"/>
      <c r="T1529" s="52"/>
      <c r="U1529" s="52"/>
      <c r="V1529" s="52"/>
      <c r="W1529" s="52"/>
      <c r="X1529" s="52"/>
      <c r="Y1529" s="52"/>
      <c r="Z1529" s="52"/>
    </row>
    <row r="1530" spans="1:26" ht="15.75" customHeight="1">
      <c r="A1530" s="52"/>
      <c r="B1530" s="52"/>
      <c r="C1530" s="52"/>
      <c r="D1530" s="52"/>
      <c r="E1530" s="52"/>
      <c r="F1530" s="71"/>
      <c r="G1530" s="52"/>
      <c r="H1530" s="52"/>
      <c r="I1530" s="52"/>
      <c r="J1530" s="52"/>
      <c r="K1530" s="52"/>
      <c r="L1530" s="52"/>
      <c r="M1530" s="52"/>
      <c r="N1530" s="52"/>
      <c r="O1530" s="52"/>
      <c r="P1530" s="52"/>
      <c r="Q1530" s="52"/>
      <c r="R1530" s="52"/>
      <c r="S1530" s="52"/>
      <c r="T1530" s="52"/>
      <c r="U1530" s="52"/>
      <c r="V1530" s="52"/>
      <c r="W1530" s="52"/>
      <c r="X1530" s="52"/>
      <c r="Y1530" s="52"/>
      <c r="Z1530" s="52"/>
    </row>
    <row r="1531" spans="1:26" ht="15.75" customHeight="1">
      <c r="A1531" s="52"/>
      <c r="B1531" s="52"/>
      <c r="C1531" s="52"/>
      <c r="D1531" s="52"/>
      <c r="E1531" s="52"/>
      <c r="F1531" s="71"/>
      <c r="G1531" s="52"/>
      <c r="H1531" s="52"/>
      <c r="I1531" s="52"/>
      <c r="J1531" s="52"/>
      <c r="K1531" s="52"/>
      <c r="L1531" s="52"/>
      <c r="M1531" s="52"/>
      <c r="N1531" s="52"/>
      <c r="O1531" s="52"/>
      <c r="P1531" s="52"/>
      <c r="Q1531" s="52"/>
      <c r="R1531" s="52"/>
      <c r="S1531" s="52"/>
      <c r="T1531" s="52"/>
      <c r="U1531" s="52"/>
      <c r="V1531" s="52"/>
      <c r="W1531" s="52"/>
      <c r="X1531" s="52"/>
      <c r="Y1531" s="52"/>
      <c r="Z1531" s="52"/>
    </row>
    <row r="1532" spans="1:26" ht="15.75" customHeight="1">
      <c r="A1532" s="52"/>
      <c r="B1532" s="52"/>
      <c r="C1532" s="52"/>
      <c r="D1532" s="52"/>
      <c r="E1532" s="52"/>
      <c r="F1532" s="71"/>
      <c r="G1532" s="52"/>
      <c r="H1532" s="52"/>
      <c r="I1532" s="52"/>
      <c r="J1532" s="52"/>
      <c r="K1532" s="52"/>
      <c r="L1532" s="52"/>
      <c r="M1532" s="52"/>
      <c r="N1532" s="52"/>
      <c r="O1532" s="52"/>
      <c r="P1532" s="52"/>
      <c r="Q1532" s="52"/>
      <c r="R1532" s="52"/>
      <c r="S1532" s="52"/>
      <c r="T1532" s="52"/>
      <c r="U1532" s="52"/>
      <c r="V1532" s="52"/>
      <c r="W1532" s="52"/>
      <c r="X1532" s="52"/>
      <c r="Y1532" s="52"/>
      <c r="Z1532" s="52"/>
    </row>
    <row r="1533" spans="1:26" ht="15.75" customHeight="1">
      <c r="A1533" s="52"/>
      <c r="B1533" s="52"/>
      <c r="C1533" s="52"/>
      <c r="D1533" s="52"/>
      <c r="E1533" s="52"/>
      <c r="F1533" s="71"/>
      <c r="G1533" s="52"/>
      <c r="H1533" s="52"/>
      <c r="I1533" s="52"/>
      <c r="J1533" s="52"/>
      <c r="K1533" s="52"/>
      <c r="L1533" s="52"/>
      <c r="M1533" s="52"/>
      <c r="N1533" s="52"/>
      <c r="O1533" s="52"/>
      <c r="P1533" s="52"/>
      <c r="Q1533" s="52"/>
      <c r="R1533" s="52"/>
      <c r="S1533" s="52"/>
      <c r="T1533" s="52"/>
      <c r="U1533" s="52"/>
      <c r="V1533" s="52"/>
      <c r="W1533" s="52"/>
      <c r="X1533" s="52"/>
      <c r="Y1533" s="52"/>
      <c r="Z1533" s="52"/>
    </row>
    <row r="1534" spans="1:26" ht="15.75" customHeight="1">
      <c r="A1534" s="52"/>
      <c r="B1534" s="52"/>
      <c r="C1534" s="52"/>
      <c r="D1534" s="52"/>
      <c r="E1534" s="52"/>
      <c r="F1534" s="71"/>
      <c r="G1534" s="52"/>
      <c r="H1534" s="52"/>
      <c r="I1534" s="52"/>
      <c r="J1534" s="52"/>
      <c r="K1534" s="52"/>
      <c r="L1534" s="52"/>
      <c r="M1534" s="52"/>
      <c r="N1534" s="52"/>
      <c r="O1534" s="52"/>
      <c r="P1534" s="52"/>
      <c r="Q1534" s="52"/>
      <c r="R1534" s="52"/>
      <c r="S1534" s="52"/>
      <c r="T1534" s="52"/>
      <c r="U1534" s="52"/>
      <c r="V1534" s="52"/>
      <c r="W1534" s="52"/>
      <c r="X1534" s="52"/>
      <c r="Y1534" s="52"/>
      <c r="Z1534" s="52"/>
    </row>
    <row r="1535" spans="1:26" ht="15.75" customHeight="1">
      <c r="A1535" s="52"/>
      <c r="B1535" s="52"/>
      <c r="C1535" s="52"/>
      <c r="D1535" s="52"/>
      <c r="E1535" s="52"/>
      <c r="F1535" s="71"/>
      <c r="G1535" s="52"/>
      <c r="H1535" s="52"/>
      <c r="I1535" s="52"/>
      <c r="J1535" s="52"/>
      <c r="K1535" s="52"/>
      <c r="L1535" s="52"/>
      <c r="M1535" s="52"/>
      <c r="N1535" s="52"/>
      <c r="O1535" s="52"/>
      <c r="P1535" s="52"/>
      <c r="Q1535" s="52"/>
      <c r="R1535" s="52"/>
      <c r="S1535" s="52"/>
      <c r="T1535" s="52"/>
      <c r="U1535" s="52"/>
      <c r="V1535" s="52"/>
      <c r="W1535" s="52"/>
      <c r="X1535" s="52"/>
      <c r="Y1535" s="52"/>
      <c r="Z1535" s="52"/>
    </row>
    <row r="1536" spans="1:26" ht="15.75" customHeight="1">
      <c r="A1536" s="52"/>
      <c r="B1536" s="52"/>
      <c r="C1536" s="52"/>
      <c r="D1536" s="52"/>
      <c r="E1536" s="52"/>
      <c r="F1536" s="71"/>
      <c r="G1536" s="52"/>
      <c r="H1536" s="52"/>
      <c r="I1536" s="52"/>
      <c r="J1536" s="52"/>
      <c r="K1536" s="52"/>
      <c r="L1536" s="52"/>
      <c r="M1536" s="52"/>
      <c r="N1536" s="52"/>
      <c r="O1536" s="52"/>
      <c r="P1536" s="52"/>
      <c r="Q1536" s="52"/>
      <c r="R1536" s="52"/>
      <c r="S1536" s="52"/>
      <c r="T1536" s="52"/>
      <c r="U1536" s="52"/>
      <c r="V1536" s="52"/>
      <c r="W1536" s="52"/>
      <c r="X1536" s="52"/>
      <c r="Y1536" s="52"/>
      <c r="Z1536" s="52"/>
    </row>
    <row r="1537" spans="1:26" ht="15.75" customHeight="1">
      <c r="A1537" s="52"/>
      <c r="B1537" s="52"/>
      <c r="C1537" s="52"/>
      <c r="D1537" s="52"/>
      <c r="E1537" s="52"/>
      <c r="F1537" s="71"/>
      <c r="G1537" s="52"/>
      <c r="H1537" s="52"/>
      <c r="I1537" s="52"/>
      <c r="J1537" s="52"/>
      <c r="K1537" s="52"/>
      <c r="L1537" s="52"/>
      <c r="M1537" s="52"/>
      <c r="N1537" s="52"/>
      <c r="O1537" s="52"/>
      <c r="P1537" s="52"/>
      <c r="Q1537" s="52"/>
      <c r="R1537" s="52"/>
      <c r="S1537" s="52"/>
      <c r="T1537" s="52"/>
      <c r="U1537" s="52"/>
      <c r="V1537" s="52"/>
      <c r="W1537" s="52"/>
      <c r="X1537" s="52"/>
      <c r="Y1537" s="52"/>
      <c r="Z1537" s="52"/>
    </row>
    <row r="1538" spans="1:26" ht="15.75" customHeight="1">
      <c r="A1538" s="52"/>
      <c r="B1538" s="52"/>
      <c r="C1538" s="52"/>
      <c r="D1538" s="52"/>
      <c r="E1538" s="52"/>
      <c r="F1538" s="71"/>
      <c r="G1538" s="52"/>
      <c r="H1538" s="52"/>
      <c r="I1538" s="52"/>
      <c r="J1538" s="52"/>
      <c r="K1538" s="52"/>
      <c r="L1538" s="52"/>
      <c r="M1538" s="52"/>
      <c r="N1538" s="52"/>
      <c r="O1538" s="52"/>
      <c r="P1538" s="52"/>
      <c r="Q1538" s="52"/>
      <c r="R1538" s="52"/>
      <c r="S1538" s="52"/>
      <c r="T1538" s="52"/>
      <c r="U1538" s="52"/>
      <c r="V1538" s="52"/>
      <c r="W1538" s="52"/>
      <c r="X1538" s="52"/>
      <c r="Y1538" s="52"/>
      <c r="Z1538" s="52"/>
    </row>
    <row r="1539" spans="1:26" ht="15.75" customHeight="1">
      <c r="A1539" s="52"/>
      <c r="B1539" s="52"/>
      <c r="C1539" s="52"/>
      <c r="D1539" s="52"/>
      <c r="E1539" s="52"/>
      <c r="F1539" s="71"/>
      <c r="G1539" s="52"/>
      <c r="H1539" s="52"/>
      <c r="I1539" s="52"/>
      <c r="J1539" s="52"/>
      <c r="K1539" s="52"/>
      <c r="L1539" s="52"/>
      <c r="M1539" s="52"/>
      <c r="N1539" s="52"/>
      <c r="O1539" s="52"/>
      <c r="P1539" s="52"/>
      <c r="Q1539" s="52"/>
      <c r="R1539" s="52"/>
      <c r="S1539" s="52"/>
      <c r="T1539" s="52"/>
      <c r="U1539" s="52"/>
      <c r="V1539" s="52"/>
      <c r="W1539" s="52"/>
      <c r="X1539" s="52"/>
      <c r="Y1539" s="52"/>
      <c r="Z1539" s="52"/>
    </row>
    <row r="1540" spans="1:26" ht="15.75" customHeight="1">
      <c r="A1540" s="52"/>
      <c r="B1540" s="52"/>
      <c r="C1540" s="52"/>
      <c r="D1540" s="52"/>
      <c r="E1540" s="52"/>
      <c r="F1540" s="71"/>
      <c r="G1540" s="52"/>
      <c r="H1540" s="52"/>
      <c r="I1540" s="52"/>
      <c r="J1540" s="52"/>
      <c r="K1540" s="52"/>
      <c r="L1540" s="52"/>
      <c r="M1540" s="52"/>
      <c r="N1540" s="52"/>
      <c r="O1540" s="52"/>
      <c r="P1540" s="52"/>
      <c r="Q1540" s="52"/>
      <c r="R1540" s="52"/>
      <c r="S1540" s="52"/>
      <c r="T1540" s="52"/>
      <c r="U1540" s="52"/>
      <c r="V1540" s="52"/>
      <c r="W1540" s="52"/>
      <c r="X1540" s="52"/>
      <c r="Y1540" s="52"/>
      <c r="Z1540" s="52"/>
    </row>
    <row r="1541" spans="1:26" ht="15.75" customHeight="1">
      <c r="A1541" s="52"/>
      <c r="B1541" s="52"/>
      <c r="C1541" s="52"/>
      <c r="D1541" s="52"/>
      <c r="E1541" s="52"/>
      <c r="F1541" s="71"/>
      <c r="G1541" s="52"/>
      <c r="H1541" s="52"/>
      <c r="I1541" s="52"/>
      <c r="J1541" s="52"/>
      <c r="K1541" s="52"/>
      <c r="L1541" s="52"/>
      <c r="M1541" s="52"/>
      <c r="N1541" s="52"/>
      <c r="O1541" s="52"/>
      <c r="P1541" s="52"/>
      <c r="Q1541" s="52"/>
      <c r="R1541" s="52"/>
      <c r="S1541" s="52"/>
      <c r="T1541" s="52"/>
      <c r="U1541" s="52"/>
      <c r="V1541" s="52"/>
      <c r="W1541" s="52"/>
      <c r="X1541" s="52"/>
      <c r="Y1541" s="52"/>
      <c r="Z1541" s="52"/>
    </row>
    <row r="1542" spans="1:26" ht="15.75" customHeight="1">
      <c r="A1542" s="52"/>
      <c r="B1542" s="52"/>
      <c r="C1542" s="52"/>
      <c r="D1542" s="52"/>
      <c r="E1542" s="52"/>
      <c r="F1542" s="71"/>
      <c r="G1542" s="52"/>
      <c r="H1542" s="52"/>
      <c r="I1542" s="52"/>
      <c r="J1542" s="52"/>
      <c r="K1542" s="52"/>
      <c r="L1542" s="52"/>
      <c r="M1542" s="52"/>
      <c r="N1542" s="52"/>
      <c r="O1542" s="52"/>
      <c r="P1542" s="52"/>
      <c r="Q1542" s="52"/>
      <c r="R1542" s="52"/>
      <c r="S1542" s="52"/>
      <c r="T1542" s="52"/>
      <c r="U1542" s="52"/>
      <c r="V1542" s="52"/>
      <c r="W1542" s="52"/>
      <c r="X1542" s="52"/>
      <c r="Y1542" s="52"/>
      <c r="Z1542" s="52"/>
    </row>
    <row r="1543" spans="1:26" ht="15.75" customHeight="1">
      <c r="A1543" s="52"/>
      <c r="B1543" s="52"/>
      <c r="C1543" s="52"/>
      <c r="D1543" s="52"/>
      <c r="E1543" s="52"/>
      <c r="F1543" s="71"/>
      <c r="G1543" s="52"/>
      <c r="H1543" s="52"/>
      <c r="I1543" s="52"/>
      <c r="J1543" s="52"/>
      <c r="K1543" s="52"/>
      <c r="L1543" s="52"/>
      <c r="M1543" s="52"/>
      <c r="N1543" s="52"/>
      <c r="O1543" s="52"/>
      <c r="P1543" s="52"/>
      <c r="Q1543" s="52"/>
      <c r="R1543" s="52"/>
      <c r="S1543" s="52"/>
      <c r="T1543" s="52"/>
      <c r="U1543" s="52"/>
      <c r="V1543" s="52"/>
      <c r="W1543" s="52"/>
      <c r="X1543" s="52"/>
      <c r="Y1543" s="52"/>
      <c r="Z1543" s="52"/>
    </row>
    <row r="1544" spans="1:26" ht="15.75" customHeight="1">
      <c r="A1544" s="52"/>
      <c r="B1544" s="52"/>
      <c r="C1544" s="52"/>
      <c r="D1544" s="52"/>
      <c r="E1544" s="52"/>
      <c r="F1544" s="71"/>
      <c r="G1544" s="52"/>
      <c r="H1544" s="52"/>
      <c r="I1544" s="52"/>
      <c r="J1544" s="52"/>
      <c r="K1544" s="52"/>
      <c r="L1544" s="52"/>
      <c r="M1544" s="52"/>
      <c r="N1544" s="52"/>
      <c r="O1544" s="52"/>
      <c r="P1544" s="52"/>
      <c r="Q1544" s="52"/>
      <c r="R1544" s="52"/>
      <c r="S1544" s="52"/>
      <c r="T1544" s="52"/>
      <c r="U1544" s="52"/>
      <c r="V1544" s="52"/>
      <c r="W1544" s="52"/>
      <c r="X1544" s="52"/>
      <c r="Y1544" s="52"/>
      <c r="Z1544" s="52"/>
    </row>
    <row r="1545" spans="1:26" ht="15.75" customHeight="1">
      <c r="A1545" s="52"/>
      <c r="B1545" s="52"/>
      <c r="C1545" s="52"/>
      <c r="D1545" s="52"/>
      <c r="E1545" s="52"/>
      <c r="F1545" s="71"/>
      <c r="G1545" s="52"/>
      <c r="H1545" s="52"/>
      <c r="I1545" s="52"/>
      <c r="J1545" s="52"/>
      <c r="K1545" s="52"/>
      <c r="L1545" s="52"/>
      <c r="M1545" s="52"/>
      <c r="N1545" s="52"/>
      <c r="O1545" s="52"/>
      <c r="P1545" s="52"/>
      <c r="Q1545" s="52"/>
      <c r="R1545" s="52"/>
      <c r="S1545" s="52"/>
      <c r="T1545" s="52"/>
      <c r="U1545" s="52"/>
      <c r="V1545" s="52"/>
      <c r="W1545" s="52"/>
      <c r="X1545" s="52"/>
      <c r="Y1545" s="52"/>
      <c r="Z1545" s="52"/>
    </row>
    <row r="1546" spans="1:26" ht="15.75" customHeight="1">
      <c r="A1546" s="52"/>
      <c r="B1546" s="52"/>
      <c r="C1546" s="52"/>
      <c r="D1546" s="52"/>
      <c r="E1546" s="52"/>
      <c r="F1546" s="71"/>
      <c r="G1546" s="52"/>
      <c r="H1546" s="52"/>
      <c r="I1546" s="52"/>
      <c r="J1546" s="52"/>
      <c r="K1546" s="52"/>
      <c r="L1546" s="52"/>
      <c r="M1546" s="52"/>
      <c r="N1546" s="52"/>
      <c r="O1546" s="52"/>
      <c r="P1546" s="52"/>
      <c r="Q1546" s="52"/>
      <c r="R1546" s="52"/>
      <c r="S1546" s="52"/>
      <c r="T1546" s="52"/>
      <c r="U1546" s="52"/>
      <c r="V1546" s="52"/>
      <c r="W1546" s="52"/>
      <c r="X1546" s="52"/>
      <c r="Y1546" s="52"/>
      <c r="Z1546" s="52"/>
    </row>
    <row r="1547" spans="1:26" ht="15.75" customHeight="1">
      <c r="A1547" s="52"/>
      <c r="B1547" s="52"/>
      <c r="C1547" s="52"/>
      <c r="D1547" s="52"/>
      <c r="E1547" s="52"/>
      <c r="F1547" s="71"/>
      <c r="G1547" s="52"/>
      <c r="H1547" s="52"/>
      <c r="I1547" s="52"/>
      <c r="J1547" s="52"/>
      <c r="K1547" s="52"/>
      <c r="L1547" s="52"/>
      <c r="M1547" s="52"/>
      <c r="N1547" s="52"/>
      <c r="O1547" s="52"/>
      <c r="P1547" s="52"/>
      <c r="Q1547" s="52"/>
      <c r="R1547" s="52"/>
      <c r="S1547" s="52"/>
      <c r="T1547" s="52"/>
      <c r="U1547" s="52"/>
      <c r="V1547" s="52"/>
      <c r="W1547" s="52"/>
      <c r="X1547" s="52"/>
      <c r="Y1547" s="52"/>
      <c r="Z1547" s="52"/>
    </row>
    <row r="1548" spans="1:26" ht="15.75" customHeight="1">
      <c r="A1548" s="52"/>
      <c r="B1548" s="52"/>
      <c r="C1548" s="52"/>
      <c r="D1548" s="52"/>
      <c r="E1548" s="52"/>
      <c r="F1548" s="71"/>
      <c r="G1548" s="52"/>
      <c r="H1548" s="52"/>
      <c r="I1548" s="52"/>
      <c r="J1548" s="52"/>
      <c r="K1548" s="52"/>
      <c r="L1548" s="52"/>
      <c r="M1548" s="52"/>
      <c r="N1548" s="52"/>
      <c r="O1548" s="52"/>
      <c r="P1548" s="52"/>
      <c r="Q1548" s="52"/>
      <c r="R1548" s="52"/>
      <c r="S1548" s="52"/>
      <c r="T1548" s="52"/>
      <c r="U1548" s="52"/>
      <c r="V1548" s="52"/>
      <c r="W1548" s="52"/>
      <c r="X1548" s="52"/>
      <c r="Y1548" s="52"/>
      <c r="Z1548" s="52"/>
    </row>
    <row r="1549" spans="1:26" ht="15.75" customHeight="1">
      <c r="A1549" s="52"/>
      <c r="B1549" s="52"/>
      <c r="C1549" s="52"/>
      <c r="D1549" s="52"/>
      <c r="E1549" s="52"/>
      <c r="F1549" s="71"/>
      <c r="G1549" s="52"/>
      <c r="H1549" s="52"/>
      <c r="I1549" s="52"/>
      <c r="J1549" s="52"/>
      <c r="K1549" s="52"/>
      <c r="L1549" s="52"/>
      <c r="M1549" s="52"/>
      <c r="N1549" s="52"/>
      <c r="O1549" s="52"/>
      <c r="P1549" s="52"/>
      <c r="Q1549" s="52"/>
      <c r="R1549" s="52"/>
      <c r="S1549" s="52"/>
      <c r="T1549" s="52"/>
      <c r="U1549" s="52"/>
      <c r="V1549" s="52"/>
      <c r="W1549" s="52"/>
      <c r="X1549" s="52"/>
      <c r="Y1549" s="52"/>
      <c r="Z1549" s="52"/>
    </row>
    <row r="1550" spans="1:26" ht="15.75" customHeight="1">
      <c r="A1550" s="52"/>
      <c r="B1550" s="52"/>
      <c r="C1550" s="52"/>
      <c r="D1550" s="52"/>
      <c r="E1550" s="52"/>
      <c r="F1550" s="71"/>
      <c r="G1550" s="52"/>
      <c r="H1550" s="52"/>
      <c r="I1550" s="52"/>
      <c r="J1550" s="52"/>
      <c r="K1550" s="52"/>
      <c r="L1550" s="52"/>
      <c r="M1550" s="52"/>
      <c r="N1550" s="52"/>
      <c r="O1550" s="52"/>
      <c r="P1550" s="52"/>
      <c r="Q1550" s="52"/>
      <c r="R1550" s="52"/>
      <c r="S1550" s="52"/>
      <c r="T1550" s="52"/>
      <c r="U1550" s="52"/>
      <c r="V1550" s="52"/>
      <c r="W1550" s="52"/>
      <c r="X1550" s="52"/>
      <c r="Y1550" s="52"/>
      <c r="Z1550" s="52"/>
    </row>
    <row r="1551" spans="1:26" ht="15.75" customHeight="1">
      <c r="A1551" s="52"/>
      <c r="B1551" s="52"/>
      <c r="C1551" s="52"/>
      <c r="D1551" s="52"/>
      <c r="E1551" s="52"/>
      <c r="F1551" s="71"/>
      <c r="G1551" s="52"/>
      <c r="H1551" s="52"/>
      <c r="I1551" s="52"/>
      <c r="J1551" s="52"/>
      <c r="K1551" s="52"/>
      <c r="L1551" s="52"/>
      <c r="M1551" s="52"/>
      <c r="N1551" s="52"/>
      <c r="O1551" s="52"/>
      <c r="P1551" s="52"/>
      <c r="Q1551" s="52"/>
      <c r="R1551" s="52"/>
      <c r="S1551" s="52"/>
      <c r="T1551" s="52"/>
      <c r="U1551" s="52"/>
      <c r="V1551" s="52"/>
      <c r="W1551" s="52"/>
      <c r="X1551" s="52"/>
      <c r="Y1551" s="52"/>
      <c r="Z1551" s="52"/>
    </row>
    <row r="1552" spans="1:26" ht="15.75" customHeight="1">
      <c r="A1552" s="52"/>
      <c r="B1552" s="52"/>
      <c r="C1552" s="52"/>
      <c r="D1552" s="52"/>
      <c r="E1552" s="52"/>
      <c r="F1552" s="71"/>
      <c r="G1552" s="52"/>
      <c r="H1552" s="52"/>
      <c r="I1552" s="52"/>
      <c r="J1552" s="52"/>
      <c r="K1552" s="52"/>
      <c r="L1552" s="52"/>
      <c r="M1552" s="52"/>
      <c r="N1552" s="52"/>
      <c r="O1552" s="52"/>
      <c r="P1552" s="52"/>
      <c r="Q1552" s="52"/>
      <c r="R1552" s="52"/>
      <c r="S1552" s="52"/>
      <c r="T1552" s="52"/>
      <c r="U1552" s="52"/>
      <c r="V1552" s="52"/>
      <c r="W1552" s="52"/>
      <c r="X1552" s="52"/>
      <c r="Y1552" s="52"/>
      <c r="Z1552" s="52"/>
    </row>
    <row r="1553" spans="1:26" ht="15.75" customHeight="1">
      <c r="A1553" s="52"/>
      <c r="B1553" s="52"/>
      <c r="C1553" s="52"/>
      <c r="D1553" s="52"/>
      <c r="E1553" s="52"/>
      <c r="F1553" s="71"/>
      <c r="G1553" s="52"/>
      <c r="H1553" s="52"/>
      <c r="I1553" s="52"/>
      <c r="J1553" s="52"/>
      <c r="K1553" s="52"/>
      <c r="L1553" s="52"/>
      <c r="M1553" s="52"/>
      <c r="N1553" s="52"/>
      <c r="O1553" s="52"/>
      <c r="P1553" s="52"/>
      <c r="Q1553" s="52"/>
      <c r="R1553" s="52"/>
      <c r="S1553" s="52"/>
      <c r="T1553" s="52"/>
      <c r="U1553" s="52"/>
      <c r="V1553" s="52"/>
      <c r="W1553" s="52"/>
      <c r="X1553" s="52"/>
      <c r="Y1553" s="52"/>
      <c r="Z1553" s="52"/>
    </row>
    <row r="1554" spans="1:26" ht="15.75" customHeight="1">
      <c r="A1554" s="52"/>
      <c r="B1554" s="52"/>
      <c r="C1554" s="52"/>
      <c r="D1554" s="52"/>
      <c r="E1554" s="52"/>
      <c r="F1554" s="71"/>
      <c r="G1554" s="52"/>
      <c r="H1554" s="52"/>
      <c r="I1554" s="52"/>
      <c r="J1554" s="52"/>
      <c r="K1554" s="52"/>
      <c r="L1554" s="52"/>
      <c r="M1554" s="52"/>
      <c r="N1554" s="52"/>
      <c r="O1554" s="52"/>
      <c r="P1554" s="52"/>
      <c r="Q1554" s="52"/>
      <c r="R1554" s="52"/>
      <c r="S1554" s="52"/>
      <c r="T1554" s="52"/>
      <c r="U1554" s="52"/>
      <c r="V1554" s="52"/>
      <c r="W1554" s="52"/>
      <c r="X1554" s="52"/>
      <c r="Y1554" s="52"/>
      <c r="Z1554" s="52"/>
    </row>
    <row r="1555" spans="1:26" ht="15.75" customHeight="1">
      <c r="A1555" s="52"/>
      <c r="B1555" s="52"/>
      <c r="C1555" s="52"/>
      <c r="D1555" s="52"/>
      <c r="E1555" s="52"/>
      <c r="F1555" s="71"/>
      <c r="G1555" s="52"/>
      <c r="H1555" s="52"/>
      <c r="I1555" s="52"/>
      <c r="J1555" s="52"/>
      <c r="K1555" s="52"/>
      <c r="L1555" s="52"/>
      <c r="M1555" s="52"/>
      <c r="N1555" s="52"/>
      <c r="O1555" s="52"/>
      <c r="P1555" s="52"/>
      <c r="Q1555" s="52"/>
      <c r="R1555" s="52"/>
      <c r="S1555" s="52"/>
      <c r="T1555" s="52"/>
      <c r="U1555" s="52"/>
      <c r="V1555" s="52"/>
      <c r="W1555" s="52"/>
      <c r="X1555" s="52"/>
      <c r="Y1555" s="52"/>
      <c r="Z1555" s="52"/>
    </row>
    <row r="1556" spans="1:26" ht="15.75" customHeight="1">
      <c r="A1556" s="52"/>
      <c r="B1556" s="52"/>
      <c r="C1556" s="52"/>
      <c r="D1556" s="52"/>
      <c r="E1556" s="52"/>
      <c r="F1556" s="71"/>
      <c r="G1556" s="52"/>
      <c r="H1556" s="52"/>
      <c r="I1556" s="52"/>
      <c r="J1556" s="52"/>
      <c r="K1556" s="52"/>
      <c r="L1556" s="52"/>
      <c r="M1556" s="52"/>
      <c r="N1556" s="52"/>
      <c r="O1556" s="52"/>
      <c r="P1556" s="52"/>
      <c r="Q1556" s="52"/>
      <c r="R1556" s="52"/>
      <c r="S1556" s="52"/>
      <c r="T1556" s="52"/>
      <c r="U1556" s="52"/>
      <c r="V1556" s="52"/>
      <c r="W1556" s="52"/>
      <c r="X1556" s="52"/>
      <c r="Y1556" s="52"/>
      <c r="Z1556" s="52"/>
    </row>
    <row r="1557" spans="1:26" ht="15.75" customHeight="1">
      <c r="A1557" s="52"/>
      <c r="B1557" s="52"/>
      <c r="C1557" s="52"/>
      <c r="D1557" s="52"/>
      <c r="E1557" s="52"/>
      <c r="F1557" s="71"/>
      <c r="G1557" s="52"/>
      <c r="H1557" s="52"/>
      <c r="I1557" s="52"/>
      <c r="J1557" s="52"/>
      <c r="K1557" s="52"/>
      <c r="L1557" s="52"/>
      <c r="M1557" s="52"/>
      <c r="N1557" s="52"/>
      <c r="O1557" s="52"/>
      <c r="P1557" s="52"/>
      <c r="Q1557" s="52"/>
      <c r="R1557" s="52"/>
      <c r="S1557" s="52"/>
      <c r="T1557" s="52"/>
      <c r="U1557" s="52"/>
      <c r="V1557" s="52"/>
      <c r="W1557" s="52"/>
      <c r="X1557" s="52"/>
      <c r="Y1557" s="52"/>
      <c r="Z1557" s="52"/>
    </row>
    <row r="1558" spans="1:26" ht="15.75" customHeight="1">
      <c r="A1558" s="52"/>
      <c r="B1558" s="52"/>
      <c r="C1558" s="52"/>
      <c r="D1558" s="52"/>
      <c r="E1558" s="52"/>
      <c r="F1558" s="71"/>
      <c r="G1558" s="52"/>
      <c r="H1558" s="52"/>
      <c r="I1558" s="52"/>
      <c r="J1558" s="52"/>
      <c r="K1558" s="52"/>
      <c r="L1558" s="52"/>
      <c r="M1558" s="52"/>
      <c r="N1558" s="52"/>
      <c r="O1558" s="52"/>
      <c r="P1558" s="52"/>
      <c r="Q1558" s="52"/>
      <c r="R1558" s="52"/>
      <c r="S1558" s="52"/>
      <c r="T1558" s="52"/>
      <c r="U1558" s="52"/>
      <c r="V1558" s="52"/>
      <c r="W1558" s="52"/>
      <c r="X1558" s="52"/>
      <c r="Y1558" s="52"/>
      <c r="Z1558" s="52"/>
    </row>
    <row r="1559" spans="1:26" ht="15.75" customHeight="1">
      <c r="A1559" s="52"/>
      <c r="B1559" s="52"/>
      <c r="C1559" s="52"/>
      <c r="D1559" s="52"/>
      <c r="E1559" s="52"/>
      <c r="F1559" s="71"/>
      <c r="G1559" s="52"/>
      <c r="H1559" s="52"/>
      <c r="I1559" s="52"/>
      <c r="J1559" s="52"/>
      <c r="K1559" s="52"/>
      <c r="L1559" s="52"/>
      <c r="M1559" s="52"/>
      <c r="N1559" s="52"/>
      <c r="O1559" s="52"/>
      <c r="P1559" s="52"/>
      <c r="Q1559" s="52"/>
      <c r="R1559" s="52"/>
      <c r="S1559" s="52"/>
      <c r="T1559" s="52"/>
      <c r="U1559" s="52"/>
      <c r="V1559" s="52"/>
      <c r="W1559" s="52"/>
      <c r="X1559" s="52"/>
      <c r="Y1559" s="52"/>
      <c r="Z1559" s="52"/>
    </row>
    <row r="1560" spans="1:26" ht="15.75" customHeight="1">
      <c r="A1560" s="52"/>
      <c r="B1560" s="52"/>
      <c r="C1560" s="52"/>
      <c r="D1560" s="52"/>
      <c r="E1560" s="52"/>
      <c r="F1560" s="71"/>
      <c r="G1560" s="52"/>
      <c r="H1560" s="52"/>
      <c r="I1560" s="52"/>
      <c r="J1560" s="52"/>
      <c r="K1560" s="52"/>
      <c r="L1560" s="52"/>
      <c r="M1560" s="52"/>
      <c r="N1560" s="52"/>
      <c r="O1560" s="52"/>
      <c r="P1560" s="52"/>
      <c r="Q1560" s="52"/>
      <c r="R1560" s="52"/>
      <c r="S1560" s="52"/>
      <c r="T1560" s="52"/>
      <c r="U1560" s="52"/>
      <c r="V1560" s="52"/>
      <c r="W1560" s="52"/>
      <c r="X1560" s="52"/>
      <c r="Y1560" s="52"/>
      <c r="Z1560" s="52"/>
    </row>
    <row r="1561" spans="1:26" ht="15.75" customHeight="1">
      <c r="A1561" s="52"/>
      <c r="B1561" s="52"/>
      <c r="C1561" s="52"/>
      <c r="D1561" s="52"/>
      <c r="E1561" s="52"/>
      <c r="F1561" s="71"/>
      <c r="G1561" s="52"/>
      <c r="H1561" s="52"/>
      <c r="I1561" s="52"/>
      <c r="J1561" s="52"/>
      <c r="K1561" s="52"/>
      <c r="L1561" s="52"/>
      <c r="M1561" s="52"/>
      <c r="N1561" s="52"/>
      <c r="O1561" s="52"/>
      <c r="P1561" s="52"/>
      <c r="Q1561" s="52"/>
      <c r="R1561" s="52"/>
      <c r="S1561" s="52"/>
      <c r="T1561" s="52"/>
      <c r="U1561" s="52"/>
      <c r="V1561" s="52"/>
      <c r="W1561" s="52"/>
      <c r="X1561" s="52"/>
      <c r="Y1561" s="52"/>
      <c r="Z1561" s="52"/>
    </row>
    <row r="1562" spans="1:26" ht="15.75" customHeight="1">
      <c r="A1562" s="52"/>
      <c r="B1562" s="52"/>
      <c r="C1562" s="52"/>
      <c r="D1562" s="52"/>
      <c r="E1562" s="52"/>
      <c r="F1562" s="71"/>
      <c r="G1562" s="52"/>
      <c r="H1562" s="52"/>
      <c r="I1562" s="52"/>
      <c r="J1562" s="52"/>
      <c r="K1562" s="52"/>
      <c r="L1562" s="52"/>
      <c r="M1562" s="52"/>
      <c r="N1562" s="52"/>
      <c r="O1562" s="52"/>
      <c r="P1562" s="52"/>
      <c r="Q1562" s="52"/>
      <c r="R1562" s="52"/>
      <c r="S1562" s="52"/>
      <c r="T1562" s="52"/>
      <c r="U1562" s="52"/>
      <c r="V1562" s="52"/>
      <c r="W1562" s="52"/>
      <c r="X1562" s="52"/>
      <c r="Y1562" s="52"/>
      <c r="Z1562" s="52"/>
    </row>
    <row r="1563" spans="1:26" ht="15.75" customHeight="1">
      <c r="A1563" s="52"/>
      <c r="B1563" s="52"/>
      <c r="C1563" s="52"/>
      <c r="D1563" s="52"/>
      <c r="E1563" s="52"/>
      <c r="F1563" s="71"/>
      <c r="G1563" s="52"/>
      <c r="H1563" s="52"/>
      <c r="I1563" s="52"/>
      <c r="J1563" s="52"/>
      <c r="K1563" s="52"/>
      <c r="L1563" s="52"/>
      <c r="M1563" s="52"/>
      <c r="N1563" s="52"/>
      <c r="O1563" s="52"/>
      <c r="P1563" s="52"/>
      <c r="Q1563" s="52"/>
      <c r="R1563" s="52"/>
      <c r="S1563" s="52"/>
      <c r="T1563" s="52"/>
      <c r="U1563" s="52"/>
      <c r="V1563" s="52"/>
      <c r="W1563" s="52"/>
      <c r="X1563" s="52"/>
      <c r="Y1563" s="52"/>
      <c r="Z1563" s="52"/>
    </row>
    <row r="1564" spans="1:26" ht="15.75" customHeight="1">
      <c r="A1564" s="52"/>
      <c r="B1564" s="52"/>
      <c r="C1564" s="52"/>
      <c r="D1564" s="52"/>
      <c r="E1564" s="52"/>
      <c r="F1564" s="71"/>
      <c r="G1564" s="52"/>
      <c r="H1564" s="52"/>
      <c r="I1564" s="52"/>
      <c r="J1564" s="52"/>
      <c r="K1564" s="52"/>
      <c r="L1564" s="52"/>
      <c r="M1564" s="52"/>
      <c r="N1564" s="52"/>
      <c r="O1564" s="52"/>
      <c r="P1564" s="52"/>
      <c r="Q1564" s="52"/>
      <c r="R1564" s="52"/>
      <c r="S1564" s="52"/>
      <c r="T1564" s="52"/>
      <c r="U1564" s="52"/>
      <c r="V1564" s="52"/>
      <c r="W1564" s="52"/>
      <c r="X1564" s="52"/>
      <c r="Y1564" s="52"/>
      <c r="Z1564" s="52"/>
    </row>
    <row r="1565" spans="1:26" ht="15.75" customHeight="1">
      <c r="A1565" s="52"/>
      <c r="B1565" s="52"/>
      <c r="C1565" s="52"/>
      <c r="D1565" s="52"/>
      <c r="E1565" s="52"/>
      <c r="F1565" s="71"/>
      <c r="G1565" s="52"/>
      <c r="H1565" s="52"/>
      <c r="I1565" s="52"/>
      <c r="J1565" s="52"/>
      <c r="K1565" s="52"/>
      <c r="L1565" s="52"/>
      <c r="M1565" s="52"/>
      <c r="N1565" s="52"/>
      <c r="O1565" s="52"/>
      <c r="P1565" s="52"/>
      <c r="Q1565" s="52"/>
      <c r="R1565" s="52"/>
      <c r="S1565" s="52"/>
      <c r="T1565" s="52"/>
      <c r="U1565" s="52"/>
      <c r="V1565" s="52"/>
      <c r="W1565" s="52"/>
      <c r="X1565" s="52"/>
      <c r="Y1565" s="52"/>
      <c r="Z1565" s="52"/>
    </row>
    <row r="1566" spans="1:26" ht="15.75" customHeight="1">
      <c r="A1566" s="52"/>
      <c r="B1566" s="52"/>
      <c r="C1566" s="52"/>
      <c r="D1566" s="52"/>
      <c r="E1566" s="52"/>
      <c r="F1566" s="71"/>
      <c r="G1566" s="52"/>
      <c r="H1566" s="52"/>
      <c r="I1566" s="52"/>
      <c r="J1566" s="52"/>
      <c r="K1566" s="52"/>
      <c r="L1566" s="52"/>
      <c r="M1566" s="52"/>
      <c r="N1566" s="52"/>
      <c r="O1566" s="52"/>
      <c r="P1566" s="52"/>
      <c r="Q1566" s="52"/>
      <c r="R1566" s="52"/>
      <c r="S1566" s="52"/>
      <c r="T1566" s="52"/>
      <c r="U1566" s="52"/>
      <c r="V1566" s="52"/>
      <c r="W1566" s="52"/>
      <c r="X1566" s="52"/>
      <c r="Y1566" s="52"/>
      <c r="Z1566" s="52"/>
    </row>
    <row r="1567" spans="1:26" ht="15.75" customHeight="1">
      <c r="A1567" s="52"/>
      <c r="B1567" s="52"/>
      <c r="C1567" s="52"/>
      <c r="D1567" s="52"/>
      <c r="E1567" s="52"/>
      <c r="F1567" s="71"/>
      <c r="G1567" s="52"/>
      <c r="H1567" s="52"/>
      <c r="I1567" s="52"/>
      <c r="J1567" s="52"/>
      <c r="K1567" s="52"/>
      <c r="L1567" s="52"/>
      <c r="M1567" s="52"/>
      <c r="N1567" s="52"/>
      <c r="O1567" s="52"/>
      <c r="P1567" s="52"/>
      <c r="Q1567" s="52"/>
      <c r="R1567" s="52"/>
      <c r="S1567" s="52"/>
      <c r="T1567" s="52"/>
      <c r="U1567" s="52"/>
      <c r="V1567" s="52"/>
      <c r="W1567" s="52"/>
      <c r="X1567" s="52"/>
      <c r="Y1567" s="52"/>
      <c r="Z1567" s="52"/>
    </row>
    <row r="1568" spans="1:26" ht="15.75" customHeight="1">
      <c r="A1568" s="52"/>
      <c r="B1568" s="52"/>
      <c r="C1568" s="52"/>
      <c r="D1568" s="52"/>
      <c r="E1568" s="52"/>
      <c r="F1568" s="71"/>
      <c r="G1568" s="52"/>
      <c r="H1568" s="52"/>
      <c r="I1568" s="52"/>
      <c r="J1568" s="52"/>
      <c r="K1568" s="52"/>
      <c r="L1568" s="52"/>
      <c r="M1568" s="52"/>
      <c r="N1568" s="52"/>
      <c r="O1568" s="52"/>
      <c r="P1568" s="52"/>
      <c r="Q1568" s="52"/>
      <c r="R1568" s="52"/>
      <c r="S1568" s="52"/>
      <c r="T1568" s="52"/>
      <c r="U1568" s="52"/>
      <c r="V1568" s="52"/>
      <c r="W1568" s="52"/>
      <c r="X1568" s="52"/>
      <c r="Y1568" s="52"/>
      <c r="Z1568" s="52"/>
    </row>
    <row r="1569" spans="1:26" ht="15.75" customHeight="1">
      <c r="A1569" s="52"/>
      <c r="B1569" s="52"/>
      <c r="C1569" s="52"/>
      <c r="D1569" s="52"/>
      <c r="E1569" s="52"/>
      <c r="F1569" s="71"/>
      <c r="G1569" s="52"/>
      <c r="H1569" s="52"/>
      <c r="I1569" s="52"/>
      <c r="J1569" s="52"/>
      <c r="K1569" s="52"/>
      <c r="L1569" s="52"/>
      <c r="M1569" s="52"/>
      <c r="N1569" s="52"/>
      <c r="O1569" s="52"/>
      <c r="P1569" s="52"/>
      <c r="Q1569" s="52"/>
      <c r="R1569" s="52"/>
      <c r="S1569" s="52"/>
      <c r="T1569" s="52"/>
      <c r="U1569" s="52"/>
      <c r="V1569" s="52"/>
      <c r="W1569" s="52"/>
      <c r="X1569" s="52"/>
      <c r="Y1569" s="52"/>
      <c r="Z1569" s="52"/>
    </row>
    <row r="1570" spans="1:26" ht="15.75" customHeight="1">
      <c r="A1570" s="52"/>
      <c r="B1570" s="52"/>
      <c r="C1570" s="52"/>
      <c r="D1570" s="52"/>
      <c r="E1570" s="52"/>
      <c r="F1570" s="71"/>
      <c r="G1570" s="52"/>
      <c r="H1570" s="52"/>
      <c r="I1570" s="52"/>
      <c r="J1570" s="52"/>
      <c r="K1570" s="52"/>
      <c r="L1570" s="52"/>
      <c r="M1570" s="52"/>
      <c r="N1570" s="52"/>
      <c r="O1570" s="52"/>
      <c r="P1570" s="52"/>
      <c r="Q1570" s="52"/>
      <c r="R1570" s="52"/>
      <c r="S1570" s="52"/>
      <c r="T1570" s="52"/>
      <c r="U1570" s="52"/>
      <c r="V1570" s="52"/>
      <c r="W1570" s="52"/>
      <c r="X1570" s="52"/>
      <c r="Y1570" s="52"/>
      <c r="Z1570" s="52"/>
    </row>
    <row r="1571" spans="1:26" ht="15.75" customHeight="1">
      <c r="A1571" s="52"/>
      <c r="B1571" s="52"/>
      <c r="C1571" s="52"/>
      <c r="D1571" s="52"/>
      <c r="E1571" s="52"/>
      <c r="F1571" s="71"/>
      <c r="G1571" s="52"/>
      <c r="H1571" s="52"/>
      <c r="I1571" s="52"/>
      <c r="J1571" s="52"/>
      <c r="K1571" s="52"/>
      <c r="L1571" s="52"/>
      <c r="M1571" s="52"/>
      <c r="N1571" s="52"/>
      <c r="O1571" s="52"/>
      <c r="P1571" s="52"/>
      <c r="Q1571" s="52"/>
      <c r="R1571" s="52"/>
      <c r="S1571" s="52"/>
      <c r="T1571" s="52"/>
      <c r="U1571" s="52"/>
      <c r="V1571" s="52"/>
      <c r="W1571" s="52"/>
      <c r="X1571" s="52"/>
      <c r="Y1571" s="52"/>
      <c r="Z1571" s="52"/>
    </row>
    <row r="1572" spans="1:26" ht="15.75" customHeight="1">
      <c r="A1572" s="52"/>
      <c r="B1572" s="52"/>
      <c r="C1572" s="52"/>
      <c r="D1572" s="52"/>
      <c r="E1572" s="52"/>
      <c r="F1572" s="71"/>
      <c r="G1572" s="52"/>
      <c r="H1572" s="52"/>
      <c r="I1572" s="52"/>
      <c r="J1572" s="52"/>
      <c r="K1572" s="52"/>
      <c r="L1572" s="52"/>
      <c r="M1572" s="52"/>
      <c r="N1572" s="52"/>
      <c r="O1572" s="52"/>
      <c r="P1572" s="52"/>
      <c r="Q1572" s="52"/>
      <c r="R1572" s="52"/>
      <c r="S1572" s="52"/>
      <c r="T1572" s="52"/>
      <c r="U1572" s="52"/>
      <c r="V1572" s="52"/>
      <c r="W1572" s="52"/>
      <c r="X1572" s="52"/>
      <c r="Y1572" s="52"/>
      <c r="Z1572" s="52"/>
    </row>
    <row r="1573" spans="1:26" ht="15.75" customHeight="1">
      <c r="A1573" s="52"/>
      <c r="B1573" s="52"/>
      <c r="C1573" s="52"/>
      <c r="D1573" s="52"/>
      <c r="E1573" s="52"/>
      <c r="F1573" s="71"/>
      <c r="G1573" s="52"/>
      <c r="H1573" s="52"/>
      <c r="I1573" s="52"/>
      <c r="J1573" s="52"/>
      <c r="K1573" s="52"/>
      <c r="L1573" s="52"/>
      <c r="M1573" s="52"/>
      <c r="N1573" s="52"/>
      <c r="O1573" s="52"/>
      <c r="P1573" s="52"/>
      <c r="Q1573" s="52"/>
      <c r="R1573" s="52"/>
      <c r="S1573" s="52"/>
      <c r="T1573" s="52"/>
      <c r="U1573" s="52"/>
      <c r="V1573" s="52"/>
      <c r="W1573" s="52"/>
      <c r="X1573" s="52"/>
      <c r="Y1573" s="52"/>
      <c r="Z1573" s="52"/>
    </row>
    <row r="1574" spans="1:26" ht="15.75" customHeight="1">
      <c r="A1574" s="52"/>
      <c r="B1574" s="52"/>
      <c r="C1574" s="52"/>
      <c r="D1574" s="52"/>
      <c r="E1574" s="52"/>
      <c r="F1574" s="71"/>
      <c r="G1574" s="52"/>
      <c r="H1574" s="52"/>
      <c r="I1574" s="52"/>
      <c r="J1574" s="52"/>
      <c r="K1574" s="52"/>
      <c r="L1574" s="52"/>
      <c r="M1574" s="52"/>
      <c r="N1574" s="52"/>
      <c r="O1574" s="52"/>
      <c r="P1574" s="52"/>
      <c r="Q1574" s="52"/>
      <c r="R1574" s="52"/>
      <c r="S1574" s="52"/>
      <c r="T1574" s="52"/>
      <c r="U1574" s="52"/>
      <c r="V1574" s="52"/>
      <c r="W1574" s="52"/>
      <c r="X1574" s="52"/>
      <c r="Y1574" s="52"/>
      <c r="Z1574" s="52"/>
    </row>
    <row r="1575" spans="1:26" ht="15.75" customHeight="1">
      <c r="A1575" s="52"/>
      <c r="B1575" s="52"/>
      <c r="C1575" s="52"/>
      <c r="D1575" s="52"/>
      <c r="E1575" s="52"/>
      <c r="F1575" s="71"/>
      <c r="G1575" s="52"/>
      <c r="H1575" s="52"/>
      <c r="I1575" s="52"/>
      <c r="J1575" s="52"/>
      <c r="K1575" s="52"/>
      <c r="L1575" s="52"/>
      <c r="M1575" s="52"/>
      <c r="N1575" s="52"/>
      <c r="O1575" s="52"/>
      <c r="P1575" s="52"/>
      <c r="Q1575" s="52"/>
      <c r="R1575" s="52"/>
      <c r="S1575" s="52"/>
      <c r="T1575" s="52"/>
      <c r="U1575" s="52"/>
      <c r="V1575" s="52"/>
      <c r="W1575" s="52"/>
      <c r="X1575" s="52"/>
      <c r="Y1575" s="52"/>
      <c r="Z1575" s="52"/>
    </row>
    <row r="1576" spans="1:26" ht="15.75" customHeight="1">
      <c r="A1576" s="52"/>
      <c r="B1576" s="52"/>
      <c r="C1576" s="52"/>
      <c r="D1576" s="52"/>
      <c r="E1576" s="52"/>
      <c r="F1576" s="71"/>
      <c r="G1576" s="52"/>
      <c r="H1576" s="52"/>
      <c r="I1576" s="52"/>
      <c r="J1576" s="52"/>
      <c r="K1576" s="52"/>
      <c r="L1576" s="52"/>
      <c r="M1576" s="52"/>
      <c r="N1576" s="52"/>
      <c r="O1576" s="52"/>
      <c r="P1576" s="52"/>
      <c r="Q1576" s="52"/>
      <c r="R1576" s="52"/>
      <c r="S1576" s="52"/>
      <c r="T1576" s="52"/>
      <c r="U1576" s="52"/>
      <c r="V1576" s="52"/>
      <c r="W1576" s="52"/>
      <c r="X1576" s="52"/>
      <c r="Y1576" s="52"/>
      <c r="Z1576" s="52"/>
    </row>
    <row r="1577" spans="1:26" ht="15.75" customHeight="1">
      <c r="A1577" s="52"/>
      <c r="B1577" s="52"/>
      <c r="C1577" s="52"/>
      <c r="D1577" s="52"/>
      <c r="E1577" s="52"/>
      <c r="F1577" s="71"/>
      <c r="G1577" s="52"/>
      <c r="H1577" s="52"/>
      <c r="I1577" s="52"/>
      <c r="J1577" s="52"/>
      <c r="K1577" s="52"/>
      <c r="L1577" s="52"/>
      <c r="M1577" s="52"/>
      <c r="N1577" s="52"/>
      <c r="O1577" s="52"/>
      <c r="P1577" s="52"/>
      <c r="Q1577" s="52"/>
      <c r="R1577" s="52"/>
      <c r="S1577" s="52"/>
      <c r="T1577" s="52"/>
      <c r="U1577" s="52"/>
      <c r="V1577" s="52"/>
      <c r="W1577" s="52"/>
      <c r="X1577" s="52"/>
      <c r="Y1577" s="52"/>
      <c r="Z1577" s="52"/>
    </row>
    <row r="1578" spans="1:26" ht="15.75" customHeight="1">
      <c r="A1578" s="52"/>
      <c r="B1578" s="52"/>
      <c r="C1578" s="52"/>
      <c r="D1578" s="52"/>
      <c r="E1578" s="52"/>
      <c r="F1578" s="71"/>
      <c r="G1578" s="52"/>
      <c r="H1578" s="52"/>
      <c r="I1578" s="52"/>
      <c r="J1578" s="52"/>
      <c r="K1578" s="52"/>
      <c r="L1578" s="52"/>
      <c r="M1578" s="52"/>
      <c r="N1578" s="52"/>
      <c r="O1578" s="52"/>
      <c r="P1578" s="52"/>
      <c r="Q1578" s="52"/>
      <c r="R1578" s="52"/>
      <c r="S1578" s="52"/>
      <c r="T1578" s="52"/>
      <c r="U1578" s="52"/>
      <c r="V1578" s="52"/>
      <c r="W1578" s="52"/>
      <c r="X1578" s="52"/>
      <c r="Y1578" s="52"/>
      <c r="Z1578" s="52"/>
    </row>
    <row r="1579" spans="1:26" ht="15.75" customHeight="1">
      <c r="A1579" s="52"/>
      <c r="B1579" s="52"/>
      <c r="C1579" s="52"/>
      <c r="D1579" s="52"/>
      <c r="E1579" s="52"/>
      <c r="F1579" s="71"/>
      <c r="G1579" s="52"/>
      <c r="H1579" s="52"/>
      <c r="I1579" s="52"/>
      <c r="J1579" s="52"/>
      <c r="K1579" s="52"/>
      <c r="L1579" s="52"/>
      <c r="M1579" s="52"/>
      <c r="N1579" s="52"/>
      <c r="O1579" s="52"/>
      <c r="P1579" s="52"/>
      <c r="Q1579" s="52"/>
      <c r="R1579" s="52"/>
      <c r="S1579" s="52"/>
      <c r="T1579" s="52"/>
      <c r="U1579" s="52"/>
      <c r="V1579" s="52"/>
      <c r="W1579" s="52"/>
      <c r="X1579" s="52"/>
      <c r="Y1579" s="52"/>
      <c r="Z1579" s="52"/>
    </row>
    <row r="1580" spans="1:26" ht="15.75" customHeight="1">
      <c r="A1580" s="52"/>
      <c r="B1580" s="52"/>
      <c r="C1580" s="52"/>
      <c r="D1580" s="52"/>
      <c r="E1580" s="52"/>
      <c r="F1580" s="71"/>
      <c r="G1580" s="52"/>
      <c r="H1580" s="52"/>
      <c r="I1580" s="52"/>
      <c r="J1580" s="52"/>
      <c r="K1580" s="52"/>
      <c r="L1580" s="52"/>
      <c r="M1580" s="52"/>
      <c r="N1580" s="52"/>
      <c r="O1580" s="52"/>
      <c r="P1580" s="52"/>
      <c r="Q1580" s="52"/>
      <c r="R1580" s="52"/>
      <c r="S1580" s="52"/>
      <c r="T1580" s="52"/>
      <c r="U1580" s="52"/>
      <c r="V1580" s="52"/>
      <c r="W1580" s="52"/>
      <c r="X1580" s="52"/>
      <c r="Y1580" s="52"/>
      <c r="Z1580" s="52"/>
    </row>
    <row r="1581" spans="1:26" ht="15.75" customHeight="1">
      <c r="A1581" s="52"/>
      <c r="B1581" s="52"/>
      <c r="C1581" s="52"/>
      <c r="D1581" s="52"/>
      <c r="E1581" s="52"/>
      <c r="F1581" s="71"/>
      <c r="G1581" s="52"/>
      <c r="H1581" s="52"/>
      <c r="I1581" s="52"/>
      <c r="J1581" s="52"/>
      <c r="K1581" s="52"/>
      <c r="L1581" s="52"/>
      <c r="M1581" s="52"/>
      <c r="N1581" s="52"/>
      <c r="O1581" s="52"/>
      <c r="P1581" s="52"/>
      <c r="Q1581" s="52"/>
      <c r="R1581" s="52"/>
      <c r="S1581" s="52"/>
      <c r="T1581" s="52"/>
      <c r="U1581" s="52"/>
      <c r="V1581" s="52"/>
      <c r="W1581" s="52"/>
      <c r="X1581" s="52"/>
      <c r="Y1581" s="52"/>
      <c r="Z1581" s="52"/>
    </row>
    <row r="1582" spans="1:26" ht="15.75" customHeight="1">
      <c r="A1582" s="52"/>
      <c r="B1582" s="52"/>
      <c r="C1582" s="52"/>
      <c r="D1582" s="52"/>
      <c r="E1582" s="52"/>
      <c r="F1582" s="71"/>
      <c r="G1582" s="52"/>
      <c r="H1582" s="52"/>
      <c r="I1582" s="52"/>
      <c r="J1582" s="52"/>
      <c r="K1582" s="52"/>
      <c r="L1582" s="52"/>
      <c r="M1582" s="52"/>
      <c r="N1582" s="52"/>
      <c r="O1582" s="52"/>
      <c r="P1582" s="52"/>
      <c r="Q1582" s="52"/>
      <c r="R1582" s="52"/>
      <c r="S1582" s="52"/>
      <c r="T1582" s="52"/>
      <c r="U1582" s="52"/>
      <c r="V1582" s="52"/>
      <c r="W1582" s="52"/>
      <c r="X1582" s="52"/>
      <c r="Y1582" s="52"/>
      <c r="Z1582" s="52"/>
    </row>
    <row r="1583" spans="1:26" ht="15.75" customHeight="1">
      <c r="A1583" s="52"/>
      <c r="B1583" s="52"/>
      <c r="C1583" s="52"/>
      <c r="D1583" s="52"/>
      <c r="E1583" s="52"/>
      <c r="F1583" s="71"/>
      <c r="G1583" s="52"/>
      <c r="H1583" s="52"/>
      <c r="I1583" s="52"/>
      <c r="J1583" s="52"/>
      <c r="K1583" s="52"/>
      <c r="L1583" s="52"/>
      <c r="M1583" s="52"/>
      <c r="N1583" s="52"/>
      <c r="O1583" s="52"/>
      <c r="P1583" s="52"/>
      <c r="Q1583" s="52"/>
      <c r="R1583" s="52"/>
      <c r="S1583" s="52"/>
      <c r="T1583" s="52"/>
      <c r="U1583" s="52"/>
      <c r="V1583" s="52"/>
      <c r="W1583" s="52"/>
      <c r="X1583" s="52"/>
      <c r="Y1583" s="52"/>
      <c r="Z1583" s="52"/>
    </row>
    <row r="1584" spans="1:26" ht="15.75" customHeight="1">
      <c r="A1584" s="52"/>
      <c r="B1584" s="52"/>
      <c r="C1584" s="52"/>
      <c r="D1584" s="52"/>
      <c r="E1584" s="52"/>
      <c r="F1584" s="71"/>
      <c r="G1584" s="52"/>
      <c r="H1584" s="52"/>
      <c r="I1584" s="52"/>
      <c r="J1584" s="52"/>
      <c r="K1584" s="52"/>
      <c r="L1584" s="52"/>
      <c r="M1584" s="52"/>
      <c r="N1584" s="52"/>
      <c r="O1584" s="52"/>
      <c r="P1584" s="52"/>
      <c r="Q1584" s="52"/>
      <c r="R1584" s="52"/>
      <c r="S1584" s="52"/>
      <c r="T1584" s="52"/>
      <c r="U1584" s="52"/>
      <c r="V1584" s="52"/>
      <c r="W1584" s="52"/>
      <c r="X1584" s="52"/>
      <c r="Y1584" s="52"/>
      <c r="Z1584" s="52"/>
    </row>
  </sheetData>
  <autoFilter ref="A2:G658">
    <sortState ref="A3:G625">
      <sortCondition ref="A3:A625"/>
      <sortCondition ref="B3:B625"/>
      <sortCondition ref="D3:D625"/>
    </sortState>
  </autoFilter>
  <mergeCells count="1">
    <mergeCell ref="A1:G1"/>
  </mergeCells>
  <hyperlinks>
    <hyperlink ref="F15" r:id="rId1"/>
    <hyperlink ref="F17" r:id="rId2"/>
    <hyperlink ref="F19" r:id="rId3"/>
    <hyperlink ref="F42" r:id="rId4" location="page=6"/>
    <hyperlink ref="F74" r:id="rId5"/>
    <hyperlink ref="F84" r:id="rId6" location="page=9"/>
    <hyperlink ref="F127" r:id="rId7" location="page=15"/>
    <hyperlink ref="F137" r:id="rId8"/>
    <hyperlink ref="F159" r:id="rId9"/>
    <hyperlink ref="F165" r:id="rId10" location="page="/>
    <hyperlink ref="F135" r:id="rId11"/>
    <hyperlink ref="F225" r:id="rId12"/>
    <hyperlink ref="F248" r:id="rId13"/>
    <hyperlink ref="F249" r:id="rId14"/>
    <hyperlink ref="F349" r:id="rId15"/>
    <hyperlink ref="F418" r:id="rId16"/>
    <hyperlink ref="F459" r:id="rId17"/>
    <hyperlink ref="F477" r:id="rId18" location="page=22"/>
    <hyperlink ref="F539" r:id="rId19" location="page=2"/>
    <hyperlink ref="F553" r:id="rId20" location="page=4"/>
    <hyperlink ref="F618" r:id="rId21" location="page=2"/>
    <hyperlink ref="F624" r:id="rId22" location="page=3"/>
    <hyperlink ref="F77" r:id="rId23"/>
    <hyperlink ref="F143" r:id="rId24"/>
    <hyperlink ref="F577" r:id="rId25" display="https://www.nbcdfw.com/news/coronavirus/fort-worth-to-provide-15-4m-for-rent-utility-relief-to-families-struggling-due-to-covid-19/2364739/"/>
    <hyperlink ref="F5" r:id="rId26"/>
    <hyperlink ref="F31" r:id="rId27"/>
    <hyperlink ref="F80" r:id="rId28"/>
    <hyperlink ref="F85" r:id="rId29"/>
    <hyperlink ref="F238" r:id="rId30"/>
    <hyperlink ref="F211" r:id="rId31"/>
    <hyperlink ref="F219" r:id="rId32"/>
    <hyperlink ref="F235" r:id="rId33"/>
    <hyperlink ref="F255" r:id="rId34"/>
    <hyperlink ref="F279" r:id="rId35"/>
    <hyperlink ref="F292" r:id="rId36"/>
    <hyperlink ref="F304" r:id="rId37"/>
    <hyperlink ref="F308" r:id="rId38"/>
    <hyperlink ref="F311" r:id="rId39"/>
    <hyperlink ref="F320" r:id="rId40"/>
    <hyperlink ref="F324" r:id="rId41"/>
    <hyperlink ref="F331" r:id="rId42"/>
    <hyperlink ref="F333" r:id="rId43"/>
    <hyperlink ref="F334" r:id="rId44"/>
    <hyperlink ref="F352" r:id="rId45"/>
    <hyperlink ref="F374" r:id="rId46"/>
    <hyperlink ref="F390" r:id="rId47"/>
    <hyperlink ref="F391" r:id="rId48"/>
    <hyperlink ref="F393" r:id="rId49"/>
    <hyperlink ref="F407" r:id="rId50"/>
    <hyperlink ref="F410" r:id="rId51"/>
    <hyperlink ref="F411" r:id="rId52"/>
    <hyperlink ref="F434" r:id="rId53"/>
    <hyperlink ref="F479" r:id="rId54"/>
    <hyperlink ref="F493" r:id="rId55"/>
    <hyperlink ref="F527" r:id="rId56"/>
    <hyperlink ref="F518" r:id="rId57"/>
    <hyperlink ref="F532" r:id="rId58"/>
    <hyperlink ref="F537" r:id="rId59"/>
    <hyperlink ref="F550" r:id="rId60" location=".XsWTm2hKiM9"/>
    <hyperlink ref="F564" r:id="rId61"/>
    <hyperlink ref="F588" r:id="rId62"/>
    <hyperlink ref="F567" r:id="rId63"/>
    <hyperlink ref="F569" r:id="rId64"/>
    <hyperlink ref="F578" r:id="rId65"/>
    <hyperlink ref="F592" r:id="rId66" location="stream/0"/>
    <hyperlink ref="F597" r:id="rId67"/>
    <hyperlink ref="F613" r:id="rId68"/>
    <hyperlink ref="F640" r:id="rId69"/>
    <hyperlink ref="F615" r:id="rId70"/>
    <hyperlink ref="F644" r:id="rId71"/>
    <hyperlink ref="F658" r:id="rId72"/>
    <hyperlink ref="F555" r:id="rId73"/>
    <hyperlink ref="F528" r:id="rId74"/>
    <hyperlink ref="F435" r:id="rId75"/>
    <hyperlink ref="F222" r:id="rId76"/>
    <hyperlink ref="F29" r:id="rId77" location="page=10"/>
    <hyperlink ref="F52" r:id="rId78" location="page=19"/>
    <hyperlink ref="F53" r:id="rId79" location="page=2"/>
    <hyperlink ref="F75" r:id="rId80" location="page=4"/>
    <hyperlink ref="F86" r:id="rId81" location="page="/>
    <hyperlink ref="F123" r:id="rId82" location="page=11"/>
    <hyperlink ref="F121" r:id="rId83" location="page=12"/>
    <hyperlink ref="F139" r:id="rId84" location="page="/>
    <hyperlink ref="F217" r:id="rId85" location="page=5"/>
    <hyperlink ref="F232" r:id="rId86" location="page=2"/>
    <hyperlink ref="F323" r:id="rId87" location="page=7"/>
    <hyperlink ref="F336" r:id="rId88" location="page=3"/>
    <hyperlink ref="F337" r:id="rId89" location="page=3"/>
    <hyperlink ref="F432" r:id="rId90" location="page=2"/>
    <hyperlink ref="F491" r:id="rId91" location="page=3"/>
    <hyperlink ref="F574" r:id="rId92" location="page=5"/>
    <hyperlink ref="F629" r:id="rId93" location="page=4"/>
    <hyperlink ref="F630" r:id="rId94" location="page=4"/>
    <hyperlink ref="F643" r:id="rId95" location="page=1"/>
    <hyperlink ref="F383" r:id="rId96"/>
    <hyperlink ref="F315" r:id="rId97"/>
    <hyperlink ref="F290" r:id="rId98"/>
    <hyperlink ref="F89" r:id="rId99"/>
    <hyperlink ref="F489" r:id="rId100"/>
    <hyperlink ref="F275" r:id="rId101" display="EXECUTIVE ORDER IN RESPONSE TO COVID-19"/>
    <hyperlink ref="F189" r:id="rId102"/>
    <hyperlink ref="F190" r:id="rId103"/>
    <hyperlink ref="F162" r:id="rId104"/>
    <hyperlink ref="F382" r:id="rId105"/>
    <hyperlink ref="F508" r:id="rId106"/>
    <hyperlink ref="F287" r:id="rId107"/>
    <hyperlink ref="F451" r:id="rId108"/>
    <hyperlink ref="F559" r:id="rId109"/>
    <hyperlink ref="F416" r:id="rId110"/>
    <hyperlink ref="F642" r:id="rId111"/>
    <hyperlink ref="F507" r:id="rId112" display="http://www.supremecourt.ohio.gov/coronavirus/resources/localCourtGuidance03.20.20.pdf"/>
    <hyperlink ref="F278" r:id="rId113"/>
    <hyperlink ref="F356" r:id="rId114"/>
    <hyperlink ref="F389" r:id="rId115"/>
    <hyperlink ref="F488" r:id="rId116"/>
    <hyperlink ref="F520" r:id="rId117"/>
    <hyperlink ref="F530" r:id="rId118"/>
    <hyperlink ref="F558" r:id="rId119"/>
    <hyperlink ref="F573" r:id="rId120"/>
    <hyperlink ref="F605" r:id="rId121"/>
    <hyperlink ref="F656" r:id="rId122"/>
    <hyperlink ref="F602" r:id="rId123"/>
    <hyperlink ref="F131" r:id="rId124"/>
    <hyperlink ref="F136" r:id="rId125" location="page=2"/>
    <hyperlink ref="F166" r:id="rId126" location="page="/>
    <hyperlink ref="F359" r:id="rId127" location="page=7"/>
    <hyperlink ref="F619" r:id="rId128" location="page=8"/>
    <hyperlink ref="F231" r:id="rId129"/>
    <hyperlink ref="F252" r:id="rId130"/>
    <hyperlink ref="F274" r:id="rId131"/>
    <hyperlink ref="F440" r:id="rId132"/>
    <hyperlink ref="F450" r:id="rId133" display="https://www.ncsha.org/wp-content/uploads/NMHTF_Rental_Assistance_NOFA_5-4-2020.pdf"/>
    <hyperlink ref="F509" r:id="rId134"/>
    <hyperlink ref="F523" r:id="rId135"/>
    <hyperlink ref="F545" r:id="rId136"/>
    <hyperlink ref="F575" r:id="rId137"/>
    <hyperlink ref="F590" r:id="rId138"/>
    <hyperlink ref="F182" r:id="rId139"/>
    <hyperlink ref="F260" r:id="rId140"/>
    <hyperlink ref="F138" r:id="rId141"/>
    <hyperlink ref="F376" r:id="rId142"/>
    <hyperlink ref="F572" r:id="rId143"/>
    <hyperlink ref="F603" r:id="rId144"/>
    <hyperlink ref="F485" r:id="rId145"/>
    <hyperlink ref="F652" r:id="rId146"/>
    <hyperlink ref="F541" r:id="rId147"/>
    <hyperlink ref="F371" r:id="rId148"/>
    <hyperlink ref="F458" r:id="rId149"/>
    <hyperlink ref="F104" r:id="rId150"/>
    <hyperlink ref="F194" r:id="rId151"/>
    <hyperlink ref="F475" r:id="rId152"/>
    <hyperlink ref="F529" r:id="rId153"/>
    <hyperlink ref="F580" r:id="rId154"/>
    <hyperlink ref="F178" r:id="rId155"/>
    <hyperlink ref="F474" r:id="rId156"/>
    <hyperlink ref="F201" r:id="rId157"/>
    <hyperlink ref="F409" r:id="rId158"/>
    <hyperlink ref="F631" r:id="rId159"/>
    <hyperlink ref="F582" r:id="rId160"/>
    <hyperlink ref="F106" r:id="rId161"/>
    <hyperlink ref="F116" r:id="rId162"/>
    <hyperlink ref="F125" r:id="rId163"/>
    <hyperlink ref="F18" r:id="rId164"/>
    <hyperlink ref="F221" r:id="rId165"/>
    <hyperlink ref="F433" r:id="rId166" display="https://newarkcovid19.com/docs/rent-increase-freeze-order"/>
    <hyperlink ref="F609" r:id="rId167"/>
    <hyperlink ref="F650" r:id="rId168"/>
    <hyperlink ref="F562" r:id="rId169"/>
    <hyperlink ref="F378" r:id="rId170"/>
    <hyperlink ref="F281" r:id="rId171"/>
    <hyperlink ref="F73" r:id="rId172"/>
    <hyperlink ref="F48" r:id="rId173"/>
    <hyperlink ref="F209" r:id="rId174"/>
    <hyperlink ref="F494" r:id="rId175"/>
    <hyperlink ref="F498" r:id="rId176"/>
    <hyperlink ref="F476" r:id="rId177"/>
    <hyperlink ref="F291" r:id="rId178"/>
    <hyperlink ref="F300" r:id="rId179"/>
    <hyperlink ref="F380" r:id="rId180"/>
    <hyperlink ref="F117" r:id="rId181"/>
    <hyperlink ref="F171" r:id="rId182"/>
    <hyperlink ref="F368" r:id="rId183"/>
    <hyperlink ref="F285" r:id="rId184"/>
    <hyperlink ref="F338" r:id="rId185" display="https://governor.maryland.gov/2020/06/26/governor-hogan-announces-30-million-in-funding-for-eviction-prevention-assistance/"/>
    <hyperlink ref="F256" r:id="rId186"/>
    <hyperlink ref="F327" r:id="rId187"/>
    <hyperlink ref="F405" r:id="rId188"/>
    <hyperlink ref="F648" r:id="rId189"/>
    <hyperlink ref="F649" r:id="rId190"/>
    <hyperlink ref="F147" r:id="rId191"/>
    <hyperlink ref="F195" r:id="rId192"/>
    <hyperlink ref="F239" r:id="rId193"/>
    <hyperlink ref="F424" r:id="rId194"/>
    <hyperlink ref="F425" r:id="rId195"/>
    <hyperlink ref="F428" r:id="rId196"/>
    <hyperlink ref="F480" r:id="rId197"/>
    <hyperlink ref="F505" r:id="rId198"/>
    <hyperlink ref="F395" r:id="rId199"/>
    <hyperlink ref="F386" r:id="rId200"/>
    <hyperlink ref="F601" r:id="rId201"/>
    <hyperlink ref="F322" r:id="rId202"/>
    <hyperlink ref="F164" r:id="rId203"/>
    <hyperlink ref="F437" r:id="rId204"/>
    <hyperlink ref="F466" r:id="rId205"/>
    <hyperlink ref="F373" r:id="rId206"/>
    <hyperlink ref="F465" r:id="rId207"/>
    <hyperlink ref="F3" r:id="rId208"/>
    <hyperlink ref="F16" r:id="rId209"/>
    <hyperlink ref="F35" r:id="rId210"/>
    <hyperlink ref="F45" r:id="rId211"/>
    <hyperlink ref="F54" r:id="rId212"/>
    <hyperlink ref="F95" r:id="rId213"/>
    <hyperlink ref="F97" r:id="rId214"/>
    <hyperlink ref="F141" r:id="rId215"/>
    <hyperlink ref="F145" r:id="rId216"/>
    <hyperlink ref="F186" r:id="rId217" display="Emergency Rental Assistance Program"/>
    <hyperlink ref="F185" r:id="rId218"/>
    <hyperlink ref="F181" r:id="rId219"/>
    <hyperlink ref="F230" r:id="rId220"/>
    <hyperlink ref="F226" r:id="rId221"/>
    <hyperlink ref="F233" r:id="rId222"/>
    <hyperlink ref="F234" r:id="rId223"/>
    <hyperlink ref="F250" r:id="rId224"/>
    <hyperlink ref="F266" r:id="rId225"/>
    <hyperlink ref="F282" r:id="rId226"/>
    <hyperlink ref="F295" r:id="rId227"/>
    <hyperlink ref="F303" r:id="rId228"/>
    <hyperlink ref="F318" r:id="rId229"/>
    <hyperlink ref="F339" r:id="rId230"/>
    <hyperlink ref="F330" r:id="rId231"/>
    <hyperlink ref="F369" r:id="rId232"/>
    <hyperlink ref="F341" r:id="rId233"/>
    <hyperlink ref="F353" r:id="rId234"/>
    <hyperlink ref="F357" r:id="rId235"/>
    <hyperlink ref="F381" r:id="rId236"/>
    <hyperlink ref="F419" r:id="rId237"/>
    <hyperlink ref="F472" r:id="rId238"/>
    <hyperlink ref="F506" r:id="rId239"/>
    <hyperlink ref="F543" r:id="rId240" display="https://www.readingpa.gov/content/reading-human-relations-commission-launches-emergency-rental-assistance-program-prevent"/>
    <hyperlink ref="F551" r:id="rId241"/>
    <hyperlink ref="F548" r:id="rId242"/>
    <hyperlink ref="F599" r:id="rId243"/>
    <hyperlink ref="F612" r:id="rId244"/>
    <hyperlink ref="F606" r:id="rId245"/>
    <hyperlink ref="F607" r:id="rId246"/>
    <hyperlink ref="F641" r:id="rId247"/>
    <hyperlink ref="F633" r:id="rId248"/>
    <hyperlink ref="F625" r:id="rId249"/>
    <hyperlink ref="F617" r:id="rId250"/>
    <hyperlink ref="F651" r:id="rId251"/>
    <hyperlink ref="F653" r:id="rId252"/>
    <hyperlink ref="F205" r:id="rId253"/>
    <hyperlink ref="F499" r:id="rId254"/>
    <hyperlink ref="F385" r:id="rId255"/>
    <hyperlink ref="F206" r:id="rId256"/>
    <hyperlink ref="F464" r:id="rId257"/>
    <hyperlink ref="F370" r:id="rId258"/>
    <hyperlink ref="F204" r:id="rId259"/>
    <hyperlink ref="F384" r:id="rId260"/>
    <hyperlink ref="F402" r:id="rId261"/>
    <hyperlink ref="F277" r:id="rId262" display="https://ilga.gov/legislation/BillStatus.asp?DocNum=866&amp;GAID=15&amp;DocTypeID=HR&amp;LegId=127000&amp;SessionID=108&amp;GA=101"/>
    <hyperlink ref="F446" r:id="rId263"/>
    <hyperlink ref="F172" r:id="rId264"/>
    <hyperlink ref="F360" r:id="rId265" display="An Act enabling partnerships for growth"/>
    <hyperlink ref="F403" r:id="rId266"/>
    <hyperlink ref="F420" r:id="rId267"/>
    <hyperlink ref="F473" r:id="rId268"/>
    <hyperlink ref="F445" r:id="rId269"/>
    <hyperlink ref="F237" r:id="rId270"/>
    <hyperlink ref="F426" r:id="rId271"/>
    <hyperlink ref="F87" r:id="rId272"/>
    <hyperlink ref="F90" r:id="rId273"/>
    <hyperlink ref="F257" r:id="rId274"/>
    <hyperlink ref="F253" r:id="rId275"/>
    <hyperlink ref="F191" r:id="rId276" display="https://www.colorado.gov/governor/sites/default/files/inline-files/D 2020 175 Equity%2C Diversity%2C and Inclusion for the State of Colorado.pdf"/>
    <hyperlink ref="F183" r:id="rId277" display="https://www.colorado.gov/governor/sites/default/files/inline-files/B 2020 006 Special Eviction Prevention Task Force.pdf"/>
    <hyperlink ref="F484" r:id="rId278"/>
    <hyperlink ref="F585" r:id="rId279" location=":~:text=Eviction%20Diversion%20Program-,Governor%20Abbott%20Announces%20Over%20%24171%20Million%20In%20CA"/>
    <hyperlink ref="F51" r:id="rId280"/>
    <hyperlink ref="F58" r:id="rId281"/>
    <hyperlink ref="F67" r:id="rId282"/>
    <hyperlink ref="F119" r:id="rId283"/>
    <hyperlink ref="F210" r:id="rId284" location="individual-assistance-program"/>
    <hyperlink ref="F220" r:id="rId285"/>
    <hyperlink ref="F227" r:id="rId286"/>
    <hyperlink ref="F243" r:id="rId287"/>
    <hyperlink ref="F267" r:id="rId288"/>
    <hyperlink ref="F306" r:id="rId289"/>
    <hyperlink ref="F316" r:id="rId290" display="https://www.lewistonmaine.gov/DocumentCenter/View/11277/COVID---EMERGENCY-INCOME-PAYMENT-PROGRAM---RENT-MORTGAGES-UTILITIES"/>
    <hyperlink ref="F335" r:id="rId291"/>
    <hyperlink ref="F193" r:id="rId292" display="https://s3.amazonaws.com/fn-document-service/file-by-sha384/6b8803658bbfef761076a42310a41693a1af487474306f39f8d86deef1a0a27f3132c0083f52b7c554ce9b39e259d7c2"/>
    <hyperlink ref="F342" r:id="rId293"/>
    <hyperlink ref="F343" r:id="rId294"/>
    <hyperlink ref="F637" r:id="rId295"/>
    <hyperlink ref="F483" r:id="rId296"/>
    <hyperlink ref="F626" r:id="rId297" location=":~:text=The%20City%20of%20Port%20Angeles%20recognizes%20that%20there%20is%20a,assistance%20during%20this%20difficult%20time.&amp;text=Approved%20amounts%20for%20utility%20bill,be%20mailed%20to%20qualifyin"/>
    <hyperlink ref="F632" r:id="rId298"/>
    <hyperlink ref="F187" r:id="rId299"/>
    <hyperlink ref="F438" r:id="rId300"/>
    <hyperlink ref="F150" r:id="rId301"/>
    <hyperlink ref="F314" r:id="rId302" display="https://www.lhc.la.gov/larenthelp?eType=EmailBlastContent&amp;eId=c4766809-66f9-4b34-b8f0-be7f3d7da627"/>
    <hyperlink ref="F328" r:id="rId303"/>
    <hyperlink ref="F598" r:id="rId304"/>
    <hyperlink ref="F524" r:id="rId305"/>
    <hyperlink ref="F482" r:id="rId306" display="https://s3.amazonaws.com/fn-document-service/file-by-sha384/cfa6da22d3ba6fec20964d8979abeee623b79d2e6526fe6e391ea6168ee46a39a048a4edc377bf4812e160aa506ac136"/>
    <hyperlink ref="F7" r:id="rId307" display="http://www.ccsak.org/cbjgrant.html"/>
    <hyperlink ref="F8" r:id="rId308"/>
    <hyperlink ref="F20" r:id="rId309"/>
    <hyperlink ref="F27" r:id="rId310"/>
    <hyperlink ref="F110" r:id="rId311"/>
    <hyperlink ref="F134" r:id="rId312" location="https://www.san-marcos.net/departments/neighborhood-programs/covid-19-rental-assistance-program%20"/>
    <hyperlink ref="F223" r:id="rId313"/>
    <hyperlink ref="F269" r:id="rId314"/>
    <hyperlink ref="F286" r:id="rId315"/>
    <hyperlink ref="F299" r:id="rId316"/>
    <hyperlink ref="F392" r:id="rId317"/>
    <hyperlink ref="F406" r:id="rId318"/>
    <hyperlink ref="F422" r:id="rId319"/>
    <hyperlink ref="F423" r:id="rId320"/>
    <hyperlink ref="F441" r:id="rId321"/>
    <hyperlink ref="F430" r:id="rId322"/>
    <hyperlink ref="F431" r:id="rId323"/>
    <hyperlink ref="F436" r:id="rId324"/>
    <hyperlink ref="F452" r:id="rId325" location="emergency-response-fund"/>
    <hyperlink ref="F453" r:id="rId326"/>
    <hyperlink ref="F487" r:id="rId327"/>
    <hyperlink ref="F495" r:id="rId328"/>
    <hyperlink ref="F525" r:id="rId329"/>
    <hyperlink ref="F560" r:id="rId330"/>
    <hyperlink ref="F568" r:id="rId331"/>
    <hyperlink ref="F576" r:id="rId332"/>
    <hyperlink ref="F586" r:id="rId333"/>
    <hyperlink ref="F591" r:id="rId334"/>
    <hyperlink ref="F623" r:id="rId335" location=":~:text=If%20you're%20a%20Lacey,at%20360%2D438%2D1100."/>
  </hyperlinks>
  <pageMargins left="0.7" right="0.7" top="0.75" bottom="0.75" header="0" footer="0"/>
  <pageSetup orientation="portrait" r:id="rId3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D5" sqref="D5"/>
    </sheetView>
  </sheetViews>
  <sheetFormatPr defaultRowHeight="15"/>
  <cols>
    <col min="1" max="1" width="14.28515625" customWidth="1"/>
    <col min="2" max="2" width="14.42578125" customWidth="1"/>
    <col min="3" max="3" width="14.28515625" customWidth="1"/>
    <col min="4" max="4" width="16.140625" customWidth="1"/>
    <col min="5" max="5" width="15" style="109" bestFit="1" customWidth="1"/>
    <col min="6" max="6" width="84.85546875" customWidth="1"/>
    <col min="7" max="7" width="28.140625" customWidth="1"/>
    <col min="8" max="8" width="11.7109375" bestFit="1" customWidth="1"/>
  </cols>
  <sheetData>
    <row r="1" spans="1:26" ht="22.5" customHeight="1">
      <c r="A1" s="118" t="s">
        <v>1347</v>
      </c>
      <c r="B1" s="119"/>
      <c r="C1" s="119"/>
      <c r="D1" s="119"/>
      <c r="E1" s="119"/>
      <c r="F1" s="119"/>
      <c r="G1" s="119"/>
      <c r="H1" s="119"/>
    </row>
    <row r="2" spans="1:26" ht="15" customHeight="1">
      <c r="A2" s="87" t="s">
        <v>18</v>
      </c>
      <c r="B2" s="88" t="s">
        <v>1</v>
      </c>
      <c r="C2" s="89" t="s">
        <v>2</v>
      </c>
      <c r="D2" s="89" t="s">
        <v>3</v>
      </c>
      <c r="E2" s="107" t="s">
        <v>1362</v>
      </c>
      <c r="F2" s="89" t="s">
        <v>1343</v>
      </c>
      <c r="G2" s="90" t="s">
        <v>5</v>
      </c>
      <c r="H2" s="91" t="s">
        <v>1342</v>
      </c>
    </row>
    <row r="3" spans="1:26" s="45" customFormat="1" ht="45">
      <c r="A3" s="50" t="s">
        <v>25</v>
      </c>
      <c r="B3" s="39" t="s">
        <v>31</v>
      </c>
      <c r="C3" s="51">
        <v>44012</v>
      </c>
      <c r="D3" s="30" t="s">
        <v>1384</v>
      </c>
      <c r="E3" s="111">
        <v>694000</v>
      </c>
      <c r="F3" s="30" t="s">
        <v>1130</v>
      </c>
      <c r="G3" s="43" t="s">
        <v>1131</v>
      </c>
      <c r="H3" s="52" t="s">
        <v>10</v>
      </c>
      <c r="I3" s="52"/>
      <c r="J3" s="52"/>
      <c r="K3" s="52"/>
      <c r="L3" s="52"/>
      <c r="M3" s="52"/>
      <c r="N3" s="52"/>
      <c r="O3" s="52"/>
      <c r="P3" s="52"/>
      <c r="Q3" s="52"/>
      <c r="R3" s="52"/>
      <c r="S3" s="52"/>
      <c r="T3" s="52"/>
      <c r="U3" s="52"/>
      <c r="V3" s="52"/>
      <c r="W3" s="52"/>
      <c r="X3" s="52"/>
      <c r="Y3" s="52"/>
      <c r="Z3" s="52"/>
    </row>
    <row r="4" spans="1:26" ht="75">
      <c r="A4" s="92" t="s">
        <v>47</v>
      </c>
      <c r="B4" s="95" t="s">
        <v>1348</v>
      </c>
      <c r="C4" s="96"/>
      <c r="D4" s="30" t="s">
        <v>1384</v>
      </c>
      <c r="E4" s="112">
        <v>715000</v>
      </c>
      <c r="F4" s="97" t="s">
        <v>1350</v>
      </c>
      <c r="G4" s="98" t="s">
        <v>1349</v>
      </c>
      <c r="H4" s="105" t="s">
        <v>10</v>
      </c>
    </row>
    <row r="5" spans="1:26" ht="60">
      <c r="A5" s="92" t="s">
        <v>47</v>
      </c>
      <c r="B5" s="93" t="s">
        <v>100</v>
      </c>
      <c r="C5" s="83">
        <v>44104</v>
      </c>
      <c r="D5" s="30" t="s">
        <v>1384</v>
      </c>
      <c r="E5" s="112"/>
      <c r="F5" s="69" t="s">
        <v>1351</v>
      </c>
      <c r="G5" s="99" t="s">
        <v>1352</v>
      </c>
      <c r="H5" s="105" t="s">
        <v>10</v>
      </c>
    </row>
    <row r="6" spans="1:26" ht="105">
      <c r="A6" s="92" t="s">
        <v>47</v>
      </c>
      <c r="B6" s="93" t="s">
        <v>29</v>
      </c>
      <c r="C6" s="83">
        <v>44013</v>
      </c>
      <c r="D6" s="30" t="s">
        <v>1384</v>
      </c>
      <c r="E6" s="112">
        <v>2750000</v>
      </c>
      <c r="F6" s="69" t="s">
        <v>1287</v>
      </c>
      <c r="G6" s="40" t="s">
        <v>1144</v>
      </c>
      <c r="H6" s="105" t="s">
        <v>10</v>
      </c>
    </row>
    <row r="7" spans="1:26" ht="75">
      <c r="A7" s="92" t="s">
        <v>47</v>
      </c>
      <c r="B7" s="93" t="s">
        <v>124</v>
      </c>
      <c r="C7" s="83">
        <v>43992</v>
      </c>
      <c r="D7" s="30" t="s">
        <v>1384</v>
      </c>
      <c r="E7" s="112">
        <v>5300000</v>
      </c>
      <c r="F7" s="69" t="s">
        <v>1040</v>
      </c>
      <c r="G7" s="40" t="s">
        <v>1041</v>
      </c>
      <c r="H7" s="105" t="s">
        <v>10</v>
      </c>
    </row>
    <row r="8" spans="1:26" ht="90">
      <c r="A8" s="92" t="s">
        <v>47</v>
      </c>
      <c r="B8" s="95" t="s">
        <v>1140</v>
      </c>
      <c r="C8" s="96">
        <v>44029</v>
      </c>
      <c r="D8" s="69" t="s">
        <v>1344</v>
      </c>
      <c r="E8" s="112"/>
      <c r="F8" s="97" t="s">
        <v>1353</v>
      </c>
      <c r="G8" s="99" t="s">
        <v>1354</v>
      </c>
      <c r="H8" s="105" t="s">
        <v>10</v>
      </c>
    </row>
    <row r="9" spans="1:26" ht="90">
      <c r="A9" s="92" t="s">
        <v>47</v>
      </c>
      <c r="B9" s="93" t="s">
        <v>165</v>
      </c>
      <c r="C9" s="83">
        <v>44027</v>
      </c>
      <c r="D9" s="30" t="s">
        <v>1384</v>
      </c>
      <c r="E9" s="112">
        <v>1000000</v>
      </c>
      <c r="F9" s="69" t="s">
        <v>1143</v>
      </c>
      <c r="G9" s="40" t="s">
        <v>1144</v>
      </c>
      <c r="H9" s="105" t="s">
        <v>10</v>
      </c>
    </row>
    <row r="10" spans="1:26" ht="60">
      <c r="A10" s="92" t="s">
        <v>47</v>
      </c>
      <c r="B10" s="93" t="s">
        <v>177</v>
      </c>
      <c r="C10" s="83">
        <v>43987</v>
      </c>
      <c r="D10" s="69" t="s">
        <v>1385</v>
      </c>
      <c r="E10" s="112">
        <v>33000000</v>
      </c>
      <c r="F10" s="69" t="s">
        <v>985</v>
      </c>
      <c r="G10" s="40" t="s">
        <v>979</v>
      </c>
      <c r="H10" s="105" t="s">
        <v>10</v>
      </c>
    </row>
    <row r="11" spans="1:26" ht="90">
      <c r="A11" s="92" t="s">
        <v>47</v>
      </c>
      <c r="B11" s="95" t="s">
        <v>278</v>
      </c>
      <c r="C11" s="96">
        <v>44082</v>
      </c>
      <c r="D11" s="30" t="s">
        <v>1384</v>
      </c>
      <c r="E11" s="113">
        <v>451972</v>
      </c>
      <c r="F11" s="97" t="s">
        <v>1355</v>
      </c>
      <c r="G11" s="99" t="s">
        <v>1356</v>
      </c>
      <c r="H11" s="105" t="s">
        <v>10</v>
      </c>
    </row>
    <row r="12" spans="1:26" ht="120">
      <c r="A12" s="92" t="s">
        <v>47</v>
      </c>
      <c r="B12" s="95" t="s">
        <v>1357</v>
      </c>
      <c r="C12" s="96">
        <v>44111</v>
      </c>
      <c r="D12" s="30" t="s">
        <v>1384</v>
      </c>
      <c r="E12" s="113">
        <v>1051615</v>
      </c>
      <c r="F12" s="97" t="s">
        <v>1358</v>
      </c>
      <c r="G12" s="99" t="s">
        <v>1333</v>
      </c>
      <c r="H12" s="105" t="s">
        <v>10</v>
      </c>
    </row>
    <row r="13" spans="1:26" ht="45">
      <c r="A13" s="92" t="s">
        <v>47</v>
      </c>
      <c r="B13" s="93" t="s">
        <v>214</v>
      </c>
      <c r="C13" s="83">
        <v>44055</v>
      </c>
      <c r="D13" s="30" t="s">
        <v>1384</v>
      </c>
      <c r="E13" s="112"/>
      <c r="F13" s="69" t="s">
        <v>215</v>
      </c>
      <c r="G13" s="40" t="s">
        <v>68</v>
      </c>
      <c r="H13" s="105" t="s">
        <v>10</v>
      </c>
    </row>
    <row r="14" spans="1:26" ht="45">
      <c r="A14" s="92" t="s">
        <v>47</v>
      </c>
      <c r="B14" s="95" t="s">
        <v>1359</v>
      </c>
      <c r="C14" s="96">
        <v>44103</v>
      </c>
      <c r="D14" s="30" t="s">
        <v>1384</v>
      </c>
      <c r="E14" s="113"/>
      <c r="F14" s="97" t="s">
        <v>1360</v>
      </c>
      <c r="G14" s="99" t="s">
        <v>1361</v>
      </c>
      <c r="H14" s="105" t="s">
        <v>10</v>
      </c>
    </row>
    <row r="15" spans="1:26" s="45" customFormat="1" ht="120">
      <c r="A15" s="50" t="s">
        <v>47</v>
      </c>
      <c r="B15" s="39" t="s">
        <v>224</v>
      </c>
      <c r="C15" s="51">
        <v>44028</v>
      </c>
      <c r="D15" s="30" t="s">
        <v>1387</v>
      </c>
      <c r="E15" s="113">
        <v>241000</v>
      </c>
      <c r="F15" s="97" t="s">
        <v>1146</v>
      </c>
      <c r="G15" s="98" t="s">
        <v>1147</v>
      </c>
      <c r="H15" s="38" t="s">
        <v>10</v>
      </c>
      <c r="I15" s="52"/>
      <c r="J15" s="52"/>
      <c r="K15" s="52"/>
      <c r="L15" s="52"/>
      <c r="M15" s="52"/>
      <c r="N15" s="52"/>
      <c r="O15" s="52"/>
      <c r="P15" s="52"/>
      <c r="Q15" s="52"/>
      <c r="R15" s="52"/>
      <c r="S15" s="52"/>
      <c r="T15" s="52"/>
      <c r="U15" s="52"/>
      <c r="V15" s="52"/>
      <c r="W15" s="52"/>
      <c r="X15" s="52"/>
      <c r="Y15" s="52"/>
      <c r="Z15" s="52"/>
    </row>
    <row r="16" spans="1:26" s="45" customFormat="1" ht="90">
      <c r="A16" s="50" t="s">
        <v>47</v>
      </c>
      <c r="B16" s="39" t="s">
        <v>1388</v>
      </c>
      <c r="C16" s="51">
        <v>44113</v>
      </c>
      <c r="D16" s="30" t="s">
        <v>1384</v>
      </c>
      <c r="E16" s="113">
        <v>182000</v>
      </c>
      <c r="F16" s="97" t="s">
        <v>1389</v>
      </c>
      <c r="G16" s="98" t="s">
        <v>1390</v>
      </c>
      <c r="H16" s="38" t="s">
        <v>10</v>
      </c>
      <c r="I16" s="52"/>
      <c r="J16" s="52"/>
      <c r="K16" s="52"/>
      <c r="L16" s="52"/>
      <c r="M16" s="52"/>
      <c r="N16" s="52"/>
      <c r="O16" s="52"/>
      <c r="P16" s="52"/>
      <c r="Q16" s="52"/>
      <c r="R16" s="52"/>
      <c r="S16" s="52"/>
      <c r="T16" s="52"/>
      <c r="U16" s="52"/>
      <c r="V16" s="52"/>
      <c r="W16" s="52"/>
      <c r="X16" s="52"/>
      <c r="Y16" s="52"/>
      <c r="Z16" s="52"/>
    </row>
    <row r="17" spans="1:26" ht="165">
      <c r="A17" s="100" t="s">
        <v>298</v>
      </c>
      <c r="B17" s="95" t="s">
        <v>18</v>
      </c>
      <c r="C17" s="96">
        <v>43962</v>
      </c>
      <c r="D17" s="97" t="s">
        <v>1344</v>
      </c>
      <c r="E17" s="113">
        <v>3228336</v>
      </c>
      <c r="F17" s="97" t="s">
        <v>1424</v>
      </c>
      <c r="G17" s="99" t="s">
        <v>1368</v>
      </c>
      <c r="H17" s="105" t="s">
        <v>10</v>
      </c>
    </row>
    <row r="18" spans="1:26" s="45" customFormat="1" ht="120">
      <c r="A18" s="30" t="s">
        <v>308</v>
      </c>
      <c r="B18" s="38" t="s">
        <v>1295</v>
      </c>
      <c r="C18" s="51">
        <v>44033</v>
      </c>
      <c r="D18" s="30" t="s">
        <v>1384</v>
      </c>
      <c r="E18" s="113">
        <v>233590</v>
      </c>
      <c r="F18" s="97" t="s">
        <v>1296</v>
      </c>
      <c r="G18" s="98" t="s">
        <v>1297</v>
      </c>
      <c r="H18" s="38" t="s">
        <v>10</v>
      </c>
      <c r="I18" s="52"/>
      <c r="J18" s="52"/>
      <c r="K18" s="52"/>
      <c r="L18" s="52"/>
      <c r="M18" s="52"/>
      <c r="N18" s="52"/>
      <c r="O18" s="52"/>
      <c r="P18" s="52"/>
      <c r="Q18" s="52"/>
      <c r="R18" s="52"/>
      <c r="S18" s="52"/>
      <c r="T18" s="52"/>
      <c r="U18" s="52"/>
      <c r="V18" s="52"/>
      <c r="W18" s="52"/>
      <c r="X18" s="52"/>
      <c r="Y18" s="52"/>
      <c r="Z18" s="52"/>
    </row>
    <row r="19" spans="1:26" s="45" customFormat="1" ht="45">
      <c r="A19" s="30" t="s">
        <v>308</v>
      </c>
      <c r="B19" s="38" t="s">
        <v>1298</v>
      </c>
      <c r="C19" s="51">
        <v>44111</v>
      </c>
      <c r="D19" s="30" t="s">
        <v>1391</v>
      </c>
      <c r="E19" s="113"/>
      <c r="F19" s="97" t="s">
        <v>1299</v>
      </c>
      <c r="G19" s="98" t="s">
        <v>1300</v>
      </c>
      <c r="H19" s="38" t="s">
        <v>10</v>
      </c>
      <c r="I19" s="52"/>
      <c r="J19" s="52"/>
      <c r="K19" s="52"/>
      <c r="L19" s="52"/>
      <c r="M19" s="52"/>
      <c r="N19" s="52"/>
      <c r="O19" s="52"/>
      <c r="P19" s="52"/>
      <c r="Q19" s="52"/>
      <c r="R19" s="52"/>
      <c r="S19" s="52"/>
      <c r="T19" s="52"/>
      <c r="U19" s="52"/>
      <c r="V19" s="52"/>
      <c r="W19" s="52"/>
      <c r="X19" s="52"/>
      <c r="Y19" s="52"/>
      <c r="Z19" s="52"/>
    </row>
    <row r="20" spans="1:26" s="45" customFormat="1" ht="45">
      <c r="A20" s="30" t="s">
        <v>368</v>
      </c>
      <c r="B20" s="38" t="s">
        <v>1161</v>
      </c>
      <c r="C20" s="51">
        <v>44036</v>
      </c>
      <c r="D20" s="30" t="s">
        <v>1384</v>
      </c>
      <c r="E20" s="113">
        <v>300000</v>
      </c>
      <c r="F20" s="97" t="s">
        <v>1162</v>
      </c>
      <c r="G20" s="98" t="s">
        <v>1163</v>
      </c>
      <c r="H20" s="38" t="s">
        <v>10</v>
      </c>
      <c r="I20" s="52"/>
      <c r="J20" s="52"/>
      <c r="K20" s="52"/>
      <c r="L20" s="52"/>
      <c r="M20" s="52"/>
      <c r="N20" s="52"/>
      <c r="O20" s="52"/>
      <c r="P20" s="52"/>
      <c r="Q20" s="52"/>
      <c r="R20" s="52"/>
      <c r="S20" s="52"/>
      <c r="T20" s="52"/>
      <c r="U20" s="52"/>
      <c r="V20" s="52"/>
      <c r="W20" s="52"/>
      <c r="X20" s="52"/>
      <c r="Y20" s="52"/>
      <c r="Z20" s="52"/>
    </row>
    <row r="21" spans="1:26" s="45" customFormat="1" ht="90">
      <c r="A21" s="30" t="s">
        <v>381</v>
      </c>
      <c r="B21" s="38" t="s">
        <v>1304</v>
      </c>
      <c r="C21" s="51">
        <v>44083</v>
      </c>
      <c r="D21" s="30" t="s">
        <v>1384</v>
      </c>
      <c r="E21" s="113">
        <v>246067</v>
      </c>
      <c r="F21" s="97" t="s">
        <v>1305</v>
      </c>
      <c r="G21" s="98" t="s">
        <v>1306</v>
      </c>
      <c r="H21" s="38" t="s">
        <v>10</v>
      </c>
      <c r="I21" s="52"/>
      <c r="J21" s="52"/>
      <c r="K21" s="52"/>
      <c r="L21" s="52"/>
      <c r="M21" s="52"/>
      <c r="N21" s="52"/>
      <c r="O21" s="52"/>
      <c r="P21" s="52"/>
      <c r="Q21" s="52"/>
      <c r="R21" s="52"/>
      <c r="S21" s="52"/>
      <c r="T21" s="52"/>
      <c r="U21" s="52"/>
      <c r="V21" s="52"/>
      <c r="W21" s="52"/>
      <c r="X21" s="52"/>
      <c r="Y21" s="52"/>
      <c r="Z21" s="52"/>
    </row>
    <row r="22" spans="1:26" s="45" customFormat="1" ht="60">
      <c r="A22" s="30" t="s">
        <v>430</v>
      </c>
      <c r="B22" s="38" t="s">
        <v>18</v>
      </c>
      <c r="C22" s="51">
        <v>44046</v>
      </c>
      <c r="D22" s="30" t="s">
        <v>1394</v>
      </c>
      <c r="E22" s="113">
        <v>24000000</v>
      </c>
      <c r="F22" s="97" t="s">
        <v>1392</v>
      </c>
      <c r="G22" s="98" t="s">
        <v>1393</v>
      </c>
      <c r="H22" s="38" t="s">
        <v>10</v>
      </c>
      <c r="I22" s="52"/>
      <c r="J22" s="52"/>
      <c r="K22" s="52"/>
      <c r="L22" s="52"/>
      <c r="M22" s="52"/>
      <c r="N22" s="52"/>
      <c r="O22" s="52"/>
      <c r="P22" s="52"/>
      <c r="Q22" s="52"/>
      <c r="R22" s="52"/>
      <c r="S22" s="52"/>
      <c r="T22" s="52"/>
      <c r="U22" s="52"/>
      <c r="V22" s="52"/>
      <c r="W22" s="52"/>
      <c r="X22" s="52"/>
      <c r="Y22" s="52"/>
      <c r="Z22" s="52"/>
    </row>
    <row r="23" spans="1:26" ht="60">
      <c r="A23" s="100" t="s">
        <v>443</v>
      </c>
      <c r="B23" s="95" t="s">
        <v>18</v>
      </c>
      <c r="C23" s="96">
        <v>44013</v>
      </c>
      <c r="D23" s="97" t="s">
        <v>1344</v>
      </c>
      <c r="E23" s="113" t="s">
        <v>1373</v>
      </c>
      <c r="F23" s="97" t="s">
        <v>1374</v>
      </c>
      <c r="G23" s="99" t="s">
        <v>1375</v>
      </c>
      <c r="H23" s="105" t="s">
        <v>10</v>
      </c>
    </row>
    <row r="24" spans="1:26" ht="45">
      <c r="A24" s="100" t="s">
        <v>450</v>
      </c>
      <c r="B24" s="95" t="s">
        <v>18</v>
      </c>
      <c r="C24" s="96">
        <v>44034</v>
      </c>
      <c r="D24" s="97" t="s">
        <v>1397</v>
      </c>
      <c r="E24" s="113" t="s">
        <v>1376</v>
      </c>
      <c r="F24" s="97" t="s">
        <v>1378</v>
      </c>
      <c r="G24" s="99" t="s">
        <v>1377</v>
      </c>
      <c r="H24" s="105" t="s">
        <v>10</v>
      </c>
    </row>
    <row r="25" spans="1:26" s="45" customFormat="1" ht="75">
      <c r="A25" s="30" t="s">
        <v>450</v>
      </c>
      <c r="B25" s="38" t="s">
        <v>455</v>
      </c>
      <c r="C25" s="51">
        <v>44111</v>
      </c>
      <c r="D25" s="97" t="s">
        <v>1397</v>
      </c>
      <c r="E25" s="113">
        <v>2000000</v>
      </c>
      <c r="F25" s="97" t="s">
        <v>1395</v>
      </c>
      <c r="G25" s="98" t="s">
        <v>1396</v>
      </c>
      <c r="H25" s="38" t="s">
        <v>10</v>
      </c>
      <c r="I25" s="52"/>
      <c r="J25" s="52"/>
      <c r="K25" s="52"/>
      <c r="L25" s="52"/>
      <c r="M25" s="52"/>
      <c r="N25" s="52"/>
      <c r="O25" s="52"/>
      <c r="P25" s="52"/>
      <c r="Q25" s="52"/>
      <c r="R25" s="52"/>
      <c r="S25" s="52"/>
      <c r="T25" s="52"/>
      <c r="U25" s="52"/>
      <c r="V25" s="52"/>
      <c r="W25" s="52"/>
      <c r="X25" s="52"/>
      <c r="Y25" s="52"/>
      <c r="Z25" s="52"/>
    </row>
    <row r="26" spans="1:26" s="45" customFormat="1" ht="75">
      <c r="A26" s="100" t="s">
        <v>473</v>
      </c>
      <c r="B26" s="95" t="s">
        <v>1399</v>
      </c>
      <c r="C26" s="96">
        <v>44046</v>
      </c>
      <c r="D26" s="97" t="s">
        <v>1401</v>
      </c>
      <c r="E26" s="113">
        <v>175000</v>
      </c>
      <c r="F26" s="97" t="s">
        <v>1398</v>
      </c>
      <c r="G26" s="99" t="s">
        <v>1400</v>
      </c>
      <c r="H26" s="38" t="s">
        <v>10</v>
      </c>
      <c r="I26" s="52"/>
      <c r="J26" s="52"/>
      <c r="K26" s="52"/>
      <c r="L26" s="52"/>
      <c r="M26" s="52"/>
      <c r="N26" s="52"/>
      <c r="O26" s="52"/>
      <c r="P26" s="52"/>
      <c r="Q26" s="52"/>
      <c r="R26" s="52"/>
      <c r="S26" s="52"/>
      <c r="T26" s="52"/>
      <c r="U26" s="52"/>
      <c r="V26" s="52"/>
      <c r="W26" s="52"/>
      <c r="X26" s="52"/>
      <c r="Y26" s="52"/>
      <c r="Z26" s="52"/>
    </row>
    <row r="27" spans="1:26" s="45" customFormat="1" ht="166.5" customHeight="1">
      <c r="A27" s="30" t="s">
        <v>473</v>
      </c>
      <c r="B27" s="38" t="s">
        <v>0</v>
      </c>
      <c r="C27" s="51">
        <v>44013</v>
      </c>
      <c r="D27" s="30" t="s">
        <v>1384</v>
      </c>
      <c r="E27" s="113">
        <v>20000000</v>
      </c>
      <c r="F27" s="97" t="s">
        <v>1412</v>
      </c>
      <c r="G27" s="98" t="s">
        <v>1179</v>
      </c>
      <c r="H27" s="38" t="s">
        <v>10</v>
      </c>
      <c r="I27" s="52"/>
      <c r="J27" s="52"/>
      <c r="K27" s="52"/>
      <c r="L27" s="52"/>
      <c r="M27" s="52"/>
      <c r="N27" s="52"/>
      <c r="O27" s="52"/>
      <c r="P27" s="52"/>
      <c r="Q27" s="52"/>
      <c r="R27" s="52"/>
      <c r="S27" s="52"/>
      <c r="T27" s="52"/>
      <c r="U27" s="52"/>
      <c r="V27" s="52"/>
      <c r="W27" s="52"/>
      <c r="X27" s="52"/>
      <c r="Y27" s="52"/>
      <c r="Z27" s="52"/>
    </row>
    <row r="28" spans="1:26" ht="150">
      <c r="A28" s="100" t="s">
        <v>473</v>
      </c>
      <c r="B28" s="95" t="s">
        <v>18</v>
      </c>
      <c r="C28" s="96">
        <v>44085</v>
      </c>
      <c r="D28" s="97" t="s">
        <v>1344</v>
      </c>
      <c r="E28" s="113" t="s">
        <v>1380</v>
      </c>
      <c r="F28" s="97" t="s">
        <v>1381</v>
      </c>
      <c r="G28" s="99" t="s">
        <v>1379</v>
      </c>
      <c r="H28" s="105" t="s">
        <v>10</v>
      </c>
    </row>
    <row r="29" spans="1:26" ht="105">
      <c r="A29" s="100" t="s">
        <v>509</v>
      </c>
      <c r="B29" s="95" t="s">
        <v>18</v>
      </c>
      <c r="C29" s="96">
        <v>44004</v>
      </c>
      <c r="D29" s="97" t="s">
        <v>1344</v>
      </c>
      <c r="E29" s="113" t="s">
        <v>1382</v>
      </c>
      <c r="F29" s="97"/>
      <c r="G29" s="98"/>
      <c r="H29" s="105"/>
    </row>
    <row r="30" spans="1:26" s="45" customFormat="1" ht="48.75" customHeight="1">
      <c r="A30" s="30" t="s">
        <v>571</v>
      </c>
      <c r="B30" s="38" t="s">
        <v>1094</v>
      </c>
      <c r="C30" s="51">
        <v>44019</v>
      </c>
      <c r="D30" s="108" t="s">
        <v>1402</v>
      </c>
      <c r="E30" s="113">
        <v>4000000</v>
      </c>
      <c r="F30" s="97" t="s">
        <v>1095</v>
      </c>
      <c r="G30" s="98" t="s">
        <v>1096</v>
      </c>
      <c r="H30" s="38" t="s">
        <v>10</v>
      </c>
      <c r="I30" s="52"/>
      <c r="J30" s="52"/>
      <c r="K30" s="52"/>
      <c r="L30" s="52"/>
      <c r="M30" s="52"/>
      <c r="N30" s="52"/>
      <c r="O30" s="52"/>
      <c r="P30" s="52"/>
      <c r="Q30" s="52"/>
      <c r="R30" s="52"/>
      <c r="S30" s="52"/>
      <c r="T30" s="52"/>
      <c r="U30" s="52"/>
      <c r="V30" s="52"/>
      <c r="W30" s="52"/>
      <c r="X30" s="52"/>
      <c r="Y30" s="52"/>
      <c r="Z30" s="52"/>
    </row>
    <row r="31" spans="1:26" s="45" customFormat="1" ht="152.25" customHeight="1">
      <c r="A31" s="30" t="s">
        <v>593</v>
      </c>
      <c r="B31" s="38" t="s">
        <v>18</v>
      </c>
      <c r="C31" s="51">
        <v>43969</v>
      </c>
      <c r="D31" s="30" t="s">
        <v>1384</v>
      </c>
      <c r="E31" s="113">
        <v>13300000</v>
      </c>
      <c r="F31" s="97" t="s">
        <v>599</v>
      </c>
      <c r="G31" s="98" t="s">
        <v>600</v>
      </c>
      <c r="H31" s="38" t="s">
        <v>10</v>
      </c>
      <c r="I31" s="52"/>
      <c r="J31" s="52"/>
      <c r="K31" s="52"/>
      <c r="L31" s="52"/>
      <c r="M31" s="52"/>
      <c r="N31" s="52"/>
      <c r="O31" s="52"/>
      <c r="P31" s="52"/>
      <c r="Q31" s="52"/>
      <c r="R31" s="52"/>
      <c r="S31" s="52"/>
      <c r="T31" s="52"/>
      <c r="U31" s="52"/>
      <c r="V31" s="52"/>
      <c r="W31" s="52"/>
      <c r="X31" s="52"/>
      <c r="Y31" s="52"/>
      <c r="Z31" s="52"/>
    </row>
    <row r="32" spans="1:26" s="45" customFormat="1" ht="227.25" customHeight="1">
      <c r="A32" s="30" t="s">
        <v>590</v>
      </c>
      <c r="B32" s="38" t="s">
        <v>18</v>
      </c>
      <c r="C32" s="51">
        <v>44068</v>
      </c>
      <c r="D32" s="30" t="s">
        <v>1403</v>
      </c>
      <c r="E32" s="113">
        <v>175000000</v>
      </c>
      <c r="F32" s="97" t="s">
        <v>1326</v>
      </c>
      <c r="G32" s="98" t="s">
        <v>1327</v>
      </c>
      <c r="H32" s="38" t="s">
        <v>10</v>
      </c>
      <c r="I32" s="52"/>
      <c r="J32" s="52"/>
      <c r="K32" s="52"/>
      <c r="L32" s="52"/>
      <c r="M32" s="52"/>
      <c r="N32" s="52"/>
      <c r="O32" s="52"/>
      <c r="P32" s="52"/>
      <c r="Q32" s="52"/>
      <c r="R32" s="52"/>
      <c r="S32" s="52"/>
      <c r="T32" s="52"/>
      <c r="U32" s="52"/>
      <c r="V32" s="52"/>
      <c r="W32" s="52"/>
      <c r="X32" s="52"/>
      <c r="Y32" s="52"/>
      <c r="Z32" s="52"/>
    </row>
    <row r="33" spans="1:26" ht="92.25" customHeight="1">
      <c r="A33" s="101" t="s">
        <v>637</v>
      </c>
      <c r="B33" s="102" t="s">
        <v>18</v>
      </c>
      <c r="C33" s="103">
        <v>43983</v>
      </c>
      <c r="D33" s="104" t="s">
        <v>1344</v>
      </c>
      <c r="E33" s="113">
        <v>2000000</v>
      </c>
      <c r="F33" s="104" t="s">
        <v>1366</v>
      </c>
      <c r="G33" s="106" t="s">
        <v>1367</v>
      </c>
      <c r="H33" s="105" t="s">
        <v>17</v>
      </c>
    </row>
    <row r="34" spans="1:26" s="45" customFormat="1" ht="60">
      <c r="A34" s="30" t="s">
        <v>637</v>
      </c>
      <c r="B34" s="38" t="s">
        <v>659</v>
      </c>
      <c r="C34" s="51">
        <v>43984</v>
      </c>
      <c r="D34" s="113" t="s">
        <v>1404</v>
      </c>
      <c r="E34" s="113">
        <v>2000000</v>
      </c>
      <c r="F34" s="97" t="s">
        <v>660</v>
      </c>
      <c r="G34" s="98" t="s">
        <v>661</v>
      </c>
      <c r="H34" s="38" t="s">
        <v>10</v>
      </c>
      <c r="I34" s="52"/>
      <c r="J34" s="52"/>
      <c r="K34" s="52"/>
      <c r="L34" s="52"/>
      <c r="M34" s="52"/>
      <c r="N34" s="52"/>
      <c r="O34" s="52"/>
      <c r="P34" s="52"/>
      <c r="Q34" s="52"/>
      <c r="R34" s="52"/>
      <c r="S34" s="52"/>
      <c r="T34" s="52"/>
      <c r="U34" s="52"/>
      <c r="V34" s="52"/>
      <c r="W34" s="52"/>
      <c r="X34" s="52"/>
      <c r="Y34" s="52"/>
      <c r="Z34" s="52"/>
    </row>
    <row r="35" spans="1:26" s="45" customFormat="1" ht="60.75" customHeight="1">
      <c r="A35" s="30" t="s">
        <v>672</v>
      </c>
      <c r="B35" s="38" t="s">
        <v>444</v>
      </c>
      <c r="C35" s="51">
        <v>44050</v>
      </c>
      <c r="D35" s="30" t="s">
        <v>1415</v>
      </c>
      <c r="E35" s="113">
        <v>29000000</v>
      </c>
      <c r="F35" s="97" t="s">
        <v>1413</v>
      </c>
      <c r="G35" s="98" t="s">
        <v>1414</v>
      </c>
      <c r="H35" s="38" t="s">
        <v>10</v>
      </c>
      <c r="I35" s="52"/>
      <c r="J35" s="52"/>
      <c r="K35" s="52"/>
      <c r="L35" s="52"/>
      <c r="M35" s="52"/>
      <c r="N35" s="52"/>
      <c r="O35" s="52"/>
      <c r="P35" s="52"/>
      <c r="Q35" s="52"/>
      <c r="R35" s="52"/>
      <c r="S35" s="52"/>
      <c r="T35" s="52"/>
      <c r="U35" s="52"/>
      <c r="V35" s="52"/>
      <c r="W35" s="52"/>
      <c r="X35" s="52"/>
      <c r="Y35" s="52"/>
      <c r="Z35" s="52"/>
    </row>
    <row r="36" spans="1:26" s="45" customFormat="1" ht="60">
      <c r="A36" s="30" t="s">
        <v>724</v>
      </c>
      <c r="B36" s="38" t="s">
        <v>1200</v>
      </c>
      <c r="C36" s="51">
        <v>43987</v>
      </c>
      <c r="D36" s="113" t="s">
        <v>1404</v>
      </c>
      <c r="E36" s="113">
        <v>939756</v>
      </c>
      <c r="F36" s="97" t="s">
        <v>1203</v>
      </c>
      <c r="G36" s="98" t="s">
        <v>1204</v>
      </c>
      <c r="H36" s="38" t="s">
        <v>10</v>
      </c>
      <c r="I36" s="52"/>
      <c r="J36" s="52"/>
      <c r="K36" s="52"/>
      <c r="L36" s="52"/>
      <c r="M36" s="52"/>
      <c r="N36" s="52"/>
      <c r="O36" s="52"/>
      <c r="P36" s="52"/>
      <c r="Q36" s="52"/>
      <c r="R36" s="52"/>
      <c r="S36" s="52"/>
      <c r="T36" s="52"/>
      <c r="U36" s="52"/>
      <c r="V36" s="52"/>
      <c r="W36" s="52"/>
      <c r="X36" s="52"/>
      <c r="Y36" s="52"/>
      <c r="Z36" s="52"/>
    </row>
    <row r="37" spans="1:26" s="45" customFormat="1" ht="60">
      <c r="A37" s="100" t="s">
        <v>751</v>
      </c>
      <c r="B37" s="95" t="s">
        <v>752</v>
      </c>
      <c r="C37" s="96">
        <v>44046</v>
      </c>
      <c r="D37" s="30" t="s">
        <v>1408</v>
      </c>
      <c r="E37" s="113">
        <v>17000000</v>
      </c>
      <c r="F37" s="97" t="s">
        <v>1406</v>
      </c>
      <c r="G37" s="99" t="s">
        <v>1407</v>
      </c>
      <c r="H37" s="110" t="s">
        <v>10</v>
      </c>
      <c r="I37" s="52"/>
      <c r="J37" s="52"/>
      <c r="K37" s="52"/>
      <c r="L37" s="52"/>
      <c r="M37" s="52"/>
      <c r="N37" s="52"/>
      <c r="O37" s="52"/>
      <c r="P37" s="52"/>
      <c r="Q37" s="52"/>
      <c r="R37" s="52"/>
      <c r="S37" s="52"/>
      <c r="T37" s="52"/>
      <c r="U37" s="52"/>
      <c r="V37" s="52"/>
      <c r="W37" s="52"/>
      <c r="X37" s="52"/>
      <c r="Y37" s="52"/>
      <c r="Z37" s="52"/>
    </row>
    <row r="38" spans="1:26" ht="180">
      <c r="A38" s="92" t="s">
        <v>751</v>
      </c>
      <c r="B38" s="93" t="s">
        <v>18</v>
      </c>
      <c r="C38" s="83">
        <v>44113</v>
      </c>
      <c r="D38" s="69" t="s">
        <v>1344</v>
      </c>
      <c r="E38" s="112" t="s">
        <v>1363</v>
      </c>
      <c r="F38" s="69" t="s">
        <v>1364</v>
      </c>
      <c r="G38" s="40"/>
      <c r="H38" s="105" t="s">
        <v>17</v>
      </c>
    </row>
    <row r="39" spans="1:26" ht="135">
      <c r="A39" s="92" t="s">
        <v>751</v>
      </c>
      <c r="B39" s="93" t="s">
        <v>18</v>
      </c>
      <c r="C39" s="83">
        <v>44113</v>
      </c>
      <c r="D39" s="69" t="s">
        <v>1345</v>
      </c>
      <c r="E39" s="112" t="s">
        <v>1365</v>
      </c>
      <c r="F39" s="69" t="s">
        <v>1346</v>
      </c>
      <c r="G39" s="94"/>
      <c r="H39" s="105" t="s">
        <v>17</v>
      </c>
    </row>
    <row r="40" spans="1:26" ht="60">
      <c r="A40" s="30" t="s">
        <v>790</v>
      </c>
      <c r="B40" s="38" t="s">
        <v>18</v>
      </c>
      <c r="C40" s="51">
        <v>44028</v>
      </c>
      <c r="D40" s="30" t="s">
        <v>1411</v>
      </c>
      <c r="E40" s="113">
        <v>20000000</v>
      </c>
      <c r="F40" s="97" t="s">
        <v>1409</v>
      </c>
      <c r="G40" s="98" t="s">
        <v>1410</v>
      </c>
      <c r="H40" s="38" t="s">
        <v>10</v>
      </c>
    </row>
  </sheetData>
  <mergeCells count="1">
    <mergeCell ref="A1:H1"/>
  </mergeCells>
  <hyperlinks>
    <hyperlink ref="G6" r:id="rId1"/>
    <hyperlink ref="G7" r:id="rId2"/>
    <hyperlink ref="G5" r:id="rId3"/>
    <hyperlink ref="G8" r:id="rId4"/>
    <hyperlink ref="G9" r:id="rId5"/>
    <hyperlink ref="G10" r:id="rId6"/>
    <hyperlink ref="G11" r:id="rId7"/>
    <hyperlink ref="G12" r:id="rId8" location="https://www.san-marcos.net/departments/neighborhood-programs/covid-19-rental-assistance-program%20"/>
    <hyperlink ref="G13" r:id="rId9" location="page="/>
    <hyperlink ref="G14" r:id="rId10"/>
    <hyperlink ref="G33" r:id="rId11" display="https://development.ohio.gov/files/cs/Draft-PY-2020-Annual-Action-Plan.pdf"/>
    <hyperlink ref="G17" r:id="rId12" display="http://www.destatehousing.com/Landlords/landlordmedia/cdbg_fy2020_proguide.pdf"/>
    <hyperlink ref="G23" r:id="rId13"/>
    <hyperlink ref="G28" r:id="rId14"/>
    <hyperlink ref="G24" r:id="rId15"/>
    <hyperlink ref="G3" r:id="rId16"/>
    <hyperlink ref="G15" r:id="rId17"/>
    <hyperlink ref="G16" r:id="rId18"/>
    <hyperlink ref="G18" r:id="rId19"/>
    <hyperlink ref="G19" r:id="rId20"/>
    <hyperlink ref="G20" r:id="rId21"/>
    <hyperlink ref="G21" r:id="rId22"/>
    <hyperlink ref="G22" r:id="rId23" display="https://www.lhc.la.gov/larenthelp?eType=EmailBlastContent&amp;eId=c4766809-66f9-4b34-b8f0-be7f3d7da627"/>
    <hyperlink ref="G25" r:id="rId24"/>
    <hyperlink ref="G26" r:id="rId25"/>
    <hyperlink ref="G30" r:id="rId26"/>
    <hyperlink ref="G31" r:id="rId27" display="https://www.ncsha.org/wp-content/uploads/NMHTF_Rental_Assistance_NOFA_5-4-2020.pdf"/>
    <hyperlink ref="G32" r:id="rId28"/>
    <hyperlink ref="G34" r:id="rId29"/>
    <hyperlink ref="G36" r:id="rId30"/>
    <hyperlink ref="G37" r:id="rId31"/>
    <hyperlink ref="G40" r:id="rId32"/>
    <hyperlink ref="G27" r:id="rId33"/>
    <hyperlink ref="G35" r:id="rId34"/>
  </hyperlinks>
  <pageMargins left="0.7" right="0.7" top="0.75" bottom="0.75" header="0.3" footer="0.3"/>
  <tableParts count="1">
    <tablePart r:id="rId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14"/>
  <sheetViews>
    <sheetView workbookViewId="0">
      <selection sqref="A1:E1"/>
    </sheetView>
  </sheetViews>
  <sheetFormatPr defaultColWidth="14.42578125" defaultRowHeight="15" customHeight="1"/>
  <cols>
    <col min="3" max="3" width="72.140625" customWidth="1"/>
    <col min="4" max="5" width="38.42578125" customWidth="1"/>
  </cols>
  <sheetData>
    <row r="1" spans="1:27" ht="32.25" customHeight="1">
      <c r="A1" s="120" t="s">
        <v>878</v>
      </c>
      <c r="B1" s="116"/>
      <c r="C1" s="116"/>
      <c r="D1" s="116"/>
      <c r="E1" s="117"/>
      <c r="F1" s="3"/>
      <c r="G1" s="8"/>
      <c r="H1" s="3"/>
      <c r="I1" s="3"/>
      <c r="J1" s="8"/>
      <c r="K1" s="8"/>
      <c r="L1" s="8"/>
      <c r="M1" s="9"/>
      <c r="N1" s="9"/>
      <c r="O1" s="9"/>
      <c r="P1" s="9"/>
      <c r="Q1" s="9"/>
      <c r="R1" s="9"/>
      <c r="S1" s="9"/>
      <c r="T1" s="9"/>
      <c r="U1" s="9"/>
      <c r="V1" s="9"/>
      <c r="W1" s="9"/>
      <c r="X1" s="9"/>
      <c r="Y1" s="9"/>
      <c r="Z1" s="9"/>
      <c r="AA1" s="9"/>
    </row>
    <row r="2" spans="1:27" ht="34.5" customHeight="1">
      <c r="A2" s="12" t="s">
        <v>0</v>
      </c>
      <c r="B2" s="10" t="s">
        <v>2</v>
      </c>
      <c r="C2" s="10" t="s">
        <v>4</v>
      </c>
      <c r="D2" s="12" t="s">
        <v>879</v>
      </c>
      <c r="E2" s="10" t="s">
        <v>5</v>
      </c>
      <c r="F2" s="14"/>
      <c r="G2" s="15"/>
      <c r="H2" s="17"/>
      <c r="I2" s="18"/>
      <c r="J2" s="15"/>
      <c r="K2" s="15"/>
      <c r="L2" s="15"/>
      <c r="M2" s="9"/>
      <c r="N2" s="9"/>
      <c r="O2" s="9"/>
      <c r="P2" s="9"/>
      <c r="Q2" s="9"/>
      <c r="R2" s="9"/>
      <c r="S2" s="9"/>
      <c r="T2" s="9"/>
      <c r="U2" s="9"/>
      <c r="V2" s="9"/>
      <c r="W2" s="9"/>
      <c r="X2" s="9"/>
      <c r="Y2" s="9"/>
      <c r="Z2" s="9"/>
      <c r="AA2" s="9"/>
    </row>
    <row r="3" spans="1:27" ht="189" customHeight="1">
      <c r="A3" s="19" t="s">
        <v>880</v>
      </c>
      <c r="B3" s="21">
        <v>43910</v>
      </c>
      <c r="C3" s="37" t="s">
        <v>881</v>
      </c>
      <c r="D3" s="37"/>
      <c r="E3" s="24" t="str">
        <f>HYPERLINK("https://www.wkbw.com/news/coronavirus/white-house-authorizes-federal-disaster-declaration-for-new-york-state","White House authorizes federal disaster declaration for New York state")</f>
        <v>White House authorizes federal disaster declaration for New York state</v>
      </c>
      <c r="F3" s="9"/>
      <c r="G3" s="9"/>
      <c r="H3" s="9"/>
      <c r="I3" s="9"/>
      <c r="J3" s="9"/>
      <c r="K3" s="9"/>
      <c r="L3" s="9"/>
      <c r="M3" s="9"/>
      <c r="N3" s="9"/>
      <c r="O3" s="9"/>
      <c r="P3" s="9"/>
      <c r="Q3" s="9"/>
      <c r="R3" s="9"/>
      <c r="S3" s="9"/>
      <c r="T3" s="9"/>
      <c r="U3" s="9"/>
      <c r="V3" s="9"/>
      <c r="W3" s="9"/>
      <c r="X3" s="9"/>
      <c r="Y3" s="9"/>
      <c r="Z3" s="9"/>
      <c r="AA3" s="9"/>
    </row>
    <row r="4" spans="1:27" ht="75">
      <c r="A4" s="19" t="s">
        <v>882</v>
      </c>
      <c r="B4" s="21">
        <v>43912</v>
      </c>
      <c r="C4" s="37" t="s">
        <v>883</v>
      </c>
      <c r="D4" s="37"/>
      <c r="E4" s="24" t="str">
        <f>HYPERLINK("https://www.governor.wa.gov/news-media/inslee-statement-federal-major-disaster-declaration","Inslee statement on federal major disaster declaration")</f>
        <v>Inslee statement on federal major disaster declaration</v>
      </c>
      <c r="F4" s="9"/>
      <c r="G4" s="9"/>
      <c r="H4" s="9"/>
      <c r="I4" s="9"/>
      <c r="J4" s="9"/>
      <c r="K4" s="9"/>
      <c r="L4" s="9"/>
      <c r="M4" s="9"/>
      <c r="N4" s="9"/>
      <c r="O4" s="9"/>
      <c r="P4" s="9"/>
      <c r="Q4" s="9"/>
      <c r="R4" s="9"/>
      <c r="S4" s="9"/>
      <c r="T4" s="9"/>
      <c r="U4" s="9"/>
      <c r="V4" s="9"/>
      <c r="W4" s="9"/>
      <c r="X4" s="9"/>
      <c r="Y4" s="9"/>
      <c r="Z4" s="9"/>
      <c r="AA4" s="9"/>
    </row>
    <row r="5" spans="1:27" ht="105">
      <c r="A5" s="19" t="s">
        <v>47</v>
      </c>
      <c r="B5" s="21">
        <v>43912</v>
      </c>
      <c r="C5" s="37" t="s">
        <v>884</v>
      </c>
      <c r="D5" s="37" t="s">
        <v>885</v>
      </c>
      <c r="E5" s="24" t="str">
        <f>HYPERLINK("https://www.gov.ca.gov/2020/03/22/california-secures-presidential-major-disaster-declaration-to-support-states-covid-19-emergency-response/","California Secures Presidential Major Disaster Declaration to Support State’s COVID-19 Emergency Response")</f>
        <v>California Secures Presidential Major Disaster Declaration to Support State’s COVID-19 Emergency Response</v>
      </c>
      <c r="F5" s="9"/>
      <c r="G5" s="9"/>
      <c r="H5" s="9"/>
      <c r="I5" s="9"/>
      <c r="J5" s="9"/>
      <c r="K5" s="9"/>
      <c r="L5" s="9"/>
      <c r="M5" s="9"/>
      <c r="N5" s="9"/>
      <c r="O5" s="9"/>
      <c r="P5" s="9"/>
      <c r="Q5" s="9"/>
      <c r="R5" s="9"/>
      <c r="S5" s="9"/>
      <c r="T5" s="9"/>
      <c r="U5" s="9"/>
      <c r="V5" s="9"/>
      <c r="W5" s="9"/>
      <c r="X5" s="9"/>
      <c r="Y5" s="9"/>
      <c r="Z5" s="9"/>
      <c r="AA5" s="9"/>
    </row>
    <row r="6" spans="1:27" ht="75">
      <c r="A6" s="19" t="s">
        <v>430</v>
      </c>
      <c r="B6" s="21">
        <v>43914</v>
      </c>
      <c r="C6" s="37" t="s">
        <v>886</v>
      </c>
      <c r="D6" s="37"/>
      <c r="E6" s="24" t="str">
        <f>HYPERLINK("https://gov.louisiana.gov/index.cfm/newsroom/detail/2433","ICYMI: Gov. Edwards' COVID-19 Major Disaster Declaration Request Approved by President Trump")</f>
        <v>ICYMI: Gov. Edwards' COVID-19 Major Disaster Declaration Request Approved by President Trump</v>
      </c>
      <c r="F6" s="9"/>
      <c r="G6" s="9"/>
      <c r="H6" s="9"/>
      <c r="I6" s="9"/>
      <c r="J6" s="9"/>
      <c r="K6" s="9"/>
      <c r="L6" s="9"/>
      <c r="M6" s="9"/>
      <c r="N6" s="9"/>
      <c r="O6" s="9"/>
      <c r="P6" s="9"/>
      <c r="Q6" s="9"/>
      <c r="R6" s="9"/>
      <c r="S6" s="9"/>
      <c r="T6" s="9"/>
      <c r="U6" s="9"/>
      <c r="V6" s="9"/>
      <c r="W6" s="9"/>
      <c r="X6" s="9"/>
      <c r="Y6" s="9"/>
      <c r="Z6" s="9"/>
      <c r="AA6" s="9"/>
    </row>
    <row r="7" spans="1:27" ht="105">
      <c r="A7" s="19" t="s">
        <v>413</v>
      </c>
      <c r="B7" s="21">
        <v>43914</v>
      </c>
      <c r="C7" s="37" t="s">
        <v>887</v>
      </c>
      <c r="D7" s="37"/>
      <c r="E7" s="24" t="str">
        <f>HYPERLINK("https://governor.iowa.gov/press-release/iowa%E2%80%99s-disaster-declaration-approved-by-president-trump","Iowa’s Disaster Declaration approved by President Trump")</f>
        <v>Iowa’s Disaster Declaration approved by President Trump</v>
      </c>
      <c r="F7" s="9"/>
      <c r="G7" s="9"/>
      <c r="H7" s="9"/>
      <c r="I7" s="9"/>
      <c r="J7" s="9"/>
      <c r="K7" s="9"/>
      <c r="L7" s="9"/>
      <c r="M7" s="9"/>
      <c r="N7" s="9"/>
      <c r="O7" s="9"/>
      <c r="P7" s="9"/>
      <c r="Q7" s="9"/>
      <c r="R7" s="9"/>
      <c r="S7" s="9"/>
      <c r="T7" s="9"/>
      <c r="U7" s="9"/>
      <c r="V7" s="9"/>
      <c r="W7" s="9"/>
      <c r="X7" s="9"/>
      <c r="Y7" s="9"/>
      <c r="Z7" s="9"/>
      <c r="AA7" s="9"/>
    </row>
    <row r="8" spans="1:27" ht="135">
      <c r="A8" s="19" t="s">
        <v>590</v>
      </c>
      <c r="B8" s="21">
        <v>43915</v>
      </c>
      <c r="C8" s="37" t="s">
        <v>888</v>
      </c>
      <c r="D8" s="37"/>
      <c r="E8" s="24" t="str">
        <f>HYPERLINK("https://governor.nc.gov/news/north-carolina-receives-federal-disaster-declaration-covid-19","North Carolina Receives Federal Disaster Declaration for COVID-19")</f>
        <v>North Carolina Receives Federal Disaster Declaration for COVID-19</v>
      </c>
      <c r="F8" s="9"/>
      <c r="G8" s="9"/>
      <c r="H8" s="9"/>
      <c r="I8" s="9"/>
      <c r="J8" s="9"/>
      <c r="K8" s="9"/>
      <c r="L8" s="9"/>
      <c r="M8" s="9"/>
      <c r="N8" s="9"/>
      <c r="O8" s="9"/>
      <c r="P8" s="9"/>
      <c r="Q8" s="9"/>
      <c r="R8" s="9"/>
      <c r="S8" s="9"/>
      <c r="T8" s="9"/>
      <c r="U8" s="9"/>
      <c r="V8" s="9"/>
      <c r="W8" s="9"/>
      <c r="X8" s="9"/>
      <c r="Y8" s="9"/>
      <c r="Z8" s="9"/>
      <c r="AA8" s="9"/>
    </row>
    <row r="9" spans="1:27" ht="120">
      <c r="A9" s="19" t="s">
        <v>308</v>
      </c>
      <c r="B9" s="21">
        <v>43915</v>
      </c>
      <c r="C9" s="37" t="s">
        <v>889</v>
      </c>
      <c r="D9" s="37"/>
      <c r="E9" s="24" t="str">
        <f>HYPERLINK("https://www.wtxl.com/news/local-news/president-donald-j-trump-approves-floridas-disaster-declaration-for-covid-19","President approves Florida's disaster declaration for COVID 19")</f>
        <v>President approves Florida's disaster declaration for COVID 19</v>
      </c>
      <c r="F9" s="9"/>
      <c r="G9" s="9"/>
      <c r="H9" s="9"/>
      <c r="I9" s="9"/>
      <c r="J9" s="9"/>
      <c r="K9" s="9"/>
      <c r="L9" s="9"/>
      <c r="M9" s="9"/>
      <c r="N9" s="9"/>
      <c r="O9" s="9"/>
      <c r="P9" s="9"/>
      <c r="Q9" s="9"/>
      <c r="R9" s="9"/>
      <c r="S9" s="9"/>
      <c r="T9" s="9"/>
      <c r="U9" s="9"/>
      <c r="V9" s="9"/>
      <c r="W9" s="9"/>
      <c r="X9" s="9"/>
      <c r="Y9" s="9"/>
      <c r="Z9" s="9"/>
      <c r="AA9" s="9"/>
    </row>
    <row r="10" spans="1:27" ht="90">
      <c r="A10" s="19" t="s">
        <v>751</v>
      </c>
      <c r="B10" s="21">
        <v>43915</v>
      </c>
      <c r="C10" s="37" t="s">
        <v>890</v>
      </c>
      <c r="D10" s="37"/>
      <c r="E10" s="24" t="str">
        <f>HYPERLINK("https://www.whitehouse.gov/briefings-statements/president-donald-j-trump-approves-texas-disaster-declaration-6/","President Donald J. Trump Approves Texas Disaster Declaration")</f>
        <v>President Donald J. Trump Approves Texas Disaster Declaration</v>
      </c>
      <c r="F10" s="9"/>
      <c r="G10" s="9"/>
      <c r="H10" s="9"/>
      <c r="I10" s="9"/>
      <c r="J10" s="9"/>
      <c r="K10" s="9"/>
      <c r="L10" s="9"/>
      <c r="M10" s="9"/>
      <c r="N10" s="9"/>
      <c r="O10" s="9"/>
      <c r="P10" s="9"/>
      <c r="Q10" s="9"/>
      <c r="R10" s="9"/>
      <c r="S10" s="9"/>
      <c r="T10" s="9"/>
      <c r="U10" s="9"/>
      <c r="V10" s="9"/>
      <c r="W10" s="9"/>
      <c r="X10" s="9"/>
      <c r="Y10" s="9"/>
      <c r="Z10" s="9"/>
      <c r="AA10" s="9"/>
    </row>
    <row r="11" spans="1:27" ht="135">
      <c r="A11" s="19" t="s">
        <v>546</v>
      </c>
      <c r="B11" s="21">
        <v>43916</v>
      </c>
      <c r="C11" s="37" t="s">
        <v>891</v>
      </c>
      <c r="D11" s="37"/>
      <c r="E11" s="24" t="str">
        <f>HYPERLINK("https://governor.mo.gov/press-releases/archive/president-trump-approves-governor-parsons-request-major-disaster-0","PRESIDENT TRUMP APPROVES GOVERNOR PARSON’S REQUEST FOR MAJOR DISASTER DECLARATION TO SUPPORT MISSOURI’S CORONAVIRUS RESPONSE")</f>
        <v>PRESIDENT TRUMP APPROVES GOVERNOR PARSON’S REQUEST FOR MAJOR DISASTER DECLARATION TO SUPPORT MISSOURI’S CORONAVIRUS RESPONSE</v>
      </c>
      <c r="F11" s="9"/>
      <c r="G11" s="9"/>
      <c r="H11" s="9"/>
      <c r="I11" s="9"/>
      <c r="J11" s="9"/>
      <c r="K11" s="9"/>
      <c r="L11" s="9"/>
      <c r="M11" s="9"/>
      <c r="N11" s="9"/>
      <c r="O11" s="9"/>
      <c r="P11" s="9"/>
      <c r="Q11" s="9"/>
      <c r="R11" s="9"/>
      <c r="S11" s="9"/>
      <c r="T11" s="9"/>
      <c r="U11" s="9"/>
      <c r="V11" s="9"/>
      <c r="W11" s="9"/>
      <c r="X11" s="9"/>
      <c r="Y11" s="9"/>
      <c r="Z11" s="9"/>
      <c r="AA11" s="9"/>
    </row>
    <row r="12" spans="1:27" ht="75">
      <c r="A12" s="19" t="s">
        <v>450</v>
      </c>
      <c r="B12" s="21">
        <v>43916</v>
      </c>
      <c r="C12" s="37" t="s">
        <v>892</v>
      </c>
      <c r="D12" s="37"/>
      <c r="E12" s="24" t="str">
        <f>HYPERLINK("https://governor.maryland.gov/2020/03/26/maryland-receives-major-disaster-declaration-from-federal-administration-for-covid-19/","Maryland Receives Major Disaster Declaration From Federal Administration For COVID-19")</f>
        <v>Maryland Receives Major Disaster Declaration From Federal Administration For COVID-19</v>
      </c>
      <c r="F12" s="9"/>
      <c r="G12" s="9"/>
      <c r="H12" s="9"/>
      <c r="I12" s="9"/>
      <c r="J12" s="9"/>
      <c r="K12" s="9"/>
      <c r="L12" s="9"/>
      <c r="M12" s="9"/>
      <c r="N12" s="9"/>
      <c r="O12" s="9"/>
      <c r="P12" s="9"/>
      <c r="Q12" s="9"/>
      <c r="R12" s="9"/>
      <c r="S12" s="9"/>
      <c r="T12" s="9"/>
      <c r="U12" s="9"/>
      <c r="V12" s="9"/>
      <c r="W12" s="9"/>
      <c r="X12" s="9"/>
      <c r="Y12" s="9"/>
      <c r="Z12" s="9"/>
      <c r="AA12" s="9"/>
    </row>
    <row r="13" spans="1:27" ht="45">
      <c r="A13" s="19" t="s">
        <v>381</v>
      </c>
      <c r="B13" s="21">
        <v>43916</v>
      </c>
      <c r="C13" s="37" t="s">
        <v>893</v>
      </c>
      <c r="D13" s="37" t="s">
        <v>885</v>
      </c>
      <c r="E13" s="24" t="str">
        <f>HYPERLINK("https://wgntv.com/news/coronavirus/trump-approves-illinois-disaster-declaration-as-covid-19-cases-surge-to-2538-total-deaths-now-26/","Trump approves Illinois disaster declaration as COVID-19 cases surge to 2,538; total deaths now 26")</f>
        <v>Trump approves Illinois disaster declaration as COVID-19 cases surge to 2,538; total deaths now 26</v>
      </c>
      <c r="F13" s="9"/>
      <c r="G13" s="9"/>
      <c r="H13" s="9"/>
      <c r="I13" s="9"/>
      <c r="J13" s="9"/>
      <c r="K13" s="9"/>
      <c r="L13" s="9"/>
      <c r="M13" s="9"/>
      <c r="N13" s="9"/>
      <c r="O13" s="9"/>
      <c r="P13" s="9"/>
      <c r="Q13" s="9"/>
      <c r="R13" s="9"/>
      <c r="S13" s="9"/>
      <c r="T13" s="9"/>
      <c r="U13" s="9"/>
      <c r="V13" s="9"/>
      <c r="W13" s="9"/>
      <c r="X13" s="9"/>
      <c r="Y13" s="9"/>
      <c r="Z13" s="9"/>
      <c r="AA13" s="9"/>
    </row>
    <row r="14" spans="1:27" ht="105">
      <c r="A14" s="19" t="s">
        <v>575</v>
      </c>
      <c r="B14" s="21">
        <v>43916</v>
      </c>
      <c r="C14" s="37" t="s">
        <v>894</v>
      </c>
      <c r="D14" s="37"/>
      <c r="E14" s="24" t="str">
        <f>HYPERLINK("https://www.nj.gov/governor/news/news/562020/20200326a.shtml","Governor Murphy Announces That New Jersey Has Received Major Disaster Declaration")</f>
        <v>Governor Murphy Announces That New Jersey Has Received Major Disaster Declaration</v>
      </c>
      <c r="F14" s="29"/>
      <c r="G14" s="9"/>
      <c r="H14" s="9"/>
      <c r="I14" s="9"/>
      <c r="J14" s="9"/>
      <c r="K14" s="9"/>
      <c r="L14" s="9"/>
      <c r="M14" s="9"/>
      <c r="N14" s="9"/>
      <c r="O14" s="9"/>
      <c r="P14" s="9"/>
      <c r="Q14" s="9"/>
      <c r="R14" s="9"/>
      <c r="S14" s="9"/>
      <c r="T14" s="9"/>
      <c r="U14" s="9"/>
      <c r="V14" s="9"/>
      <c r="W14" s="9"/>
      <c r="X14" s="9"/>
      <c r="Y14" s="9"/>
      <c r="Z14" s="9"/>
      <c r="AA14" s="9"/>
    </row>
    <row r="15" spans="1:27" ht="120">
      <c r="A15" s="19" t="s">
        <v>895</v>
      </c>
      <c r="B15" s="21">
        <v>43917</v>
      </c>
      <c r="C15" s="37" t="s">
        <v>896</v>
      </c>
      <c r="D15" s="37" t="s">
        <v>897</v>
      </c>
      <c r="E15" s="24" t="str">
        <f>HYPERLINK("https://www.wxyz.com/news/president-trump-approves-michigans-disaster-declaration","President Trump approves Michigan’s disaster declaration")</f>
        <v>President Trump approves Michigan’s disaster declaration</v>
      </c>
      <c r="F15" s="9"/>
      <c r="G15" s="9"/>
      <c r="H15" s="9"/>
      <c r="I15" s="9"/>
      <c r="J15" s="9"/>
      <c r="K15" s="9"/>
      <c r="L15" s="9"/>
      <c r="M15" s="9"/>
      <c r="N15" s="9"/>
      <c r="O15" s="9"/>
      <c r="P15" s="9"/>
      <c r="Q15" s="9"/>
      <c r="R15" s="9"/>
      <c r="S15" s="9"/>
      <c r="T15" s="9"/>
      <c r="U15" s="9"/>
      <c r="V15" s="9"/>
      <c r="W15" s="9"/>
      <c r="X15" s="9"/>
      <c r="Y15" s="9"/>
      <c r="Z15" s="9"/>
      <c r="AA15" s="9"/>
    </row>
    <row r="16" spans="1:27" ht="75">
      <c r="A16" s="19" t="s">
        <v>729</v>
      </c>
      <c r="B16" s="21">
        <v>43917</v>
      </c>
      <c r="C16" s="37" t="s">
        <v>898</v>
      </c>
      <c r="D16" s="37"/>
      <c r="E16" s="24" t="str">
        <f>HYPERLINK("https://www.scemd.org/news/south-carolina-receives-federal-disaster-declaration-for-covid-19/","South Carolina Receives Federal Disaster Declaration for COVID-19")</f>
        <v>South Carolina Receives Federal Disaster Declaration for COVID-19</v>
      </c>
      <c r="F16" s="9"/>
      <c r="G16" s="9"/>
      <c r="H16" s="9"/>
      <c r="I16" s="9"/>
      <c r="J16" s="9"/>
      <c r="K16" s="9"/>
      <c r="L16" s="9"/>
      <c r="M16" s="9"/>
      <c r="N16" s="9"/>
      <c r="O16" s="9"/>
      <c r="P16" s="9"/>
      <c r="Q16" s="9"/>
      <c r="R16" s="9"/>
      <c r="S16" s="9"/>
      <c r="T16" s="9"/>
      <c r="U16" s="9"/>
      <c r="V16" s="9"/>
      <c r="W16" s="9"/>
      <c r="X16" s="9"/>
      <c r="Y16" s="9"/>
      <c r="Z16" s="9"/>
      <c r="AA16" s="9"/>
    </row>
    <row r="17" spans="1:27" ht="60">
      <c r="A17" s="19" t="s">
        <v>721</v>
      </c>
      <c r="B17" s="21">
        <v>43917</v>
      </c>
      <c r="C17" s="37" t="s">
        <v>899</v>
      </c>
      <c r="D17" s="37"/>
      <c r="E17" s="24" t="str">
        <f>HYPERLINK("https://www.fema.gov/news-release/2020/03/27/president-donald-j-trump-approves-major-disaster-declaration-commonwealth","President Donald J. Trump Approves Major Disaster Declaration for Commonwealth of Puerto Rico")</f>
        <v>President Donald J. Trump Approves Major Disaster Declaration for Commonwealth of Puerto Rico</v>
      </c>
      <c r="F17" s="9"/>
      <c r="G17" s="9"/>
      <c r="H17" s="9"/>
      <c r="I17" s="9"/>
      <c r="J17" s="9"/>
      <c r="K17" s="9"/>
      <c r="L17" s="9"/>
      <c r="M17" s="9"/>
      <c r="N17" s="9"/>
      <c r="O17" s="9"/>
      <c r="P17" s="9"/>
      <c r="Q17" s="9"/>
      <c r="R17" s="9"/>
      <c r="S17" s="9"/>
      <c r="T17" s="9"/>
      <c r="U17" s="9"/>
      <c r="V17" s="9"/>
      <c r="W17" s="9"/>
      <c r="X17" s="9"/>
      <c r="Y17" s="9"/>
      <c r="Z17" s="9"/>
      <c r="AA17" s="9"/>
    </row>
    <row r="18" spans="1:27" ht="120">
      <c r="A18" s="19" t="s">
        <v>900</v>
      </c>
      <c r="B18" s="21">
        <v>43917</v>
      </c>
      <c r="C18" s="37" t="s">
        <v>901</v>
      </c>
      <c r="D18" s="37"/>
      <c r="E18" s="24" t="str">
        <f>HYPERLINK("https://www.whitehouse.gov/briefings-statements/president-donald-j-trump-approves-guam-disaster-declaration-3/","President Donald J. Trump Approves Guam Disaster Declaration")</f>
        <v>President Donald J. Trump Approves Guam Disaster Declaration</v>
      </c>
      <c r="F18" s="9"/>
      <c r="G18" s="9"/>
      <c r="H18" s="9"/>
      <c r="I18" s="9"/>
      <c r="J18" s="9"/>
      <c r="K18" s="9"/>
      <c r="L18" s="9"/>
      <c r="M18" s="9"/>
      <c r="N18" s="9"/>
      <c r="O18" s="9"/>
      <c r="P18" s="9"/>
      <c r="Q18" s="9"/>
      <c r="R18" s="9"/>
      <c r="S18" s="9"/>
      <c r="T18" s="9"/>
      <c r="U18" s="9"/>
      <c r="V18" s="9"/>
      <c r="W18" s="9"/>
      <c r="X18" s="9"/>
      <c r="Y18" s="9"/>
      <c r="Z18" s="9"/>
      <c r="AA18" s="9"/>
    </row>
    <row r="19" spans="1:27" ht="195">
      <c r="A19" s="19" t="s">
        <v>473</v>
      </c>
      <c r="B19" s="21">
        <v>43918</v>
      </c>
      <c r="C19" s="37" t="s">
        <v>902</v>
      </c>
      <c r="D19" s="37" t="s">
        <v>885</v>
      </c>
      <c r="E19" s="24" t="str">
        <f>HYPERLINK("https://www.mass.gov/news/baker-polito-administration-announces-federal-disaster-declaration-for-covid-19-response","Baker-Polito Administration Announces Federal Disaster Declaration for COVID-19 Response")</f>
        <v>Baker-Polito Administration Announces Federal Disaster Declaration for COVID-19 Response</v>
      </c>
      <c r="F19" s="9"/>
      <c r="G19" s="9"/>
      <c r="H19" s="9"/>
      <c r="I19" s="9"/>
      <c r="J19" s="9"/>
      <c r="K19" s="9"/>
      <c r="L19" s="9"/>
      <c r="M19" s="9"/>
      <c r="N19" s="9"/>
      <c r="O19" s="9"/>
      <c r="P19" s="9"/>
      <c r="Q19" s="9"/>
      <c r="R19" s="9"/>
      <c r="S19" s="9"/>
      <c r="T19" s="9"/>
      <c r="U19" s="9"/>
      <c r="V19" s="9"/>
      <c r="W19" s="9"/>
      <c r="X19" s="9"/>
      <c r="Y19" s="9"/>
      <c r="Z19" s="9"/>
      <c r="AA19" s="9"/>
    </row>
    <row r="20" spans="1:27" ht="150">
      <c r="A20" s="19" t="s">
        <v>903</v>
      </c>
      <c r="B20" s="21">
        <v>43918</v>
      </c>
      <c r="C20" s="37" t="s">
        <v>904</v>
      </c>
      <c r="D20" s="37" t="s">
        <v>897</v>
      </c>
      <c r="E20" s="24" t="str">
        <f>HYPERLINK("https://kentucky.gov/Pages/Activity-stream.aspx?n=GovernorBeshear&amp;prId=108","Ninth death reported; Major Disaster Declaration, CARES Act open federal aid for Kentucky’s response
Visit the Governor’s Facebook page to watch today’s news conference")</f>
        <v>Ninth death reported; Major Disaster Declaration, CARES Act open federal aid for Kentucky’s response
Visit the Governor’s Facebook page to watch today’s news conference</v>
      </c>
      <c r="F20" s="9"/>
      <c r="G20" s="9"/>
      <c r="H20" s="9"/>
      <c r="I20" s="9"/>
      <c r="J20" s="9"/>
      <c r="K20" s="9"/>
      <c r="L20" s="9"/>
      <c r="M20" s="9"/>
      <c r="N20" s="9"/>
      <c r="O20" s="9"/>
      <c r="P20" s="9"/>
      <c r="Q20" s="9"/>
      <c r="R20" s="9"/>
      <c r="S20" s="9"/>
      <c r="T20" s="9"/>
      <c r="U20" s="9"/>
      <c r="V20" s="9"/>
      <c r="W20" s="9"/>
      <c r="X20" s="9"/>
      <c r="Y20" s="9"/>
      <c r="Z20" s="9"/>
      <c r="AA20" s="9"/>
    </row>
    <row r="21" spans="1:27" ht="75">
      <c r="A21" s="19" t="s">
        <v>281</v>
      </c>
      <c r="B21" s="21">
        <v>43919</v>
      </c>
      <c r="C21" s="37" t="s">
        <v>905</v>
      </c>
      <c r="D21" s="37"/>
      <c r="E21" s="24" t="str">
        <f>HYPERLINK("https://www.colorado.gov/governor/news/gov-polis-secures-major-disaster-status-colorado","Gov. Polis Secures Major Disaster Status for Colorado")</f>
        <v>Gov. Polis Secures Major Disaster Status for Colorado</v>
      </c>
      <c r="F21" s="9"/>
      <c r="G21" s="9"/>
      <c r="H21" s="9"/>
      <c r="I21" s="9"/>
      <c r="J21" s="9"/>
      <c r="K21" s="9"/>
      <c r="L21" s="9"/>
      <c r="M21" s="9"/>
      <c r="N21" s="9"/>
      <c r="O21" s="9"/>
      <c r="P21" s="9"/>
      <c r="Q21" s="9"/>
      <c r="R21" s="9"/>
      <c r="S21" s="9"/>
      <c r="T21" s="9"/>
      <c r="U21" s="9"/>
      <c r="V21" s="9"/>
      <c r="W21" s="9"/>
      <c r="X21" s="9"/>
      <c r="Y21" s="9"/>
      <c r="Z21" s="9"/>
      <c r="AA21" s="9"/>
    </row>
    <row r="22" spans="1:27" ht="360">
      <c r="A22" s="19" t="s">
        <v>906</v>
      </c>
      <c r="B22" s="21">
        <v>43919</v>
      </c>
      <c r="C22" s="37" t="s">
        <v>907</v>
      </c>
      <c r="D22" s="37" t="s">
        <v>897</v>
      </c>
      <c r="E22" s="24" t="str">
        <f>HYPERLINK("https://www.oregon.gov/newsroom/Pages/NewsDetail.aspx?newsid=36281","Governor Kate Brown Statement on Federal Disaster Declaration for Oregon")</f>
        <v>Governor Kate Brown Statement on Federal Disaster Declaration for Oregon</v>
      </c>
      <c r="F22" s="9"/>
      <c r="G22" s="9"/>
      <c r="H22" s="9"/>
      <c r="I22" s="9"/>
      <c r="J22" s="9"/>
      <c r="K22" s="9"/>
      <c r="L22" s="9"/>
      <c r="M22" s="9"/>
      <c r="N22" s="9"/>
      <c r="O22" s="9"/>
      <c r="P22" s="9"/>
      <c r="Q22" s="9"/>
      <c r="R22" s="9"/>
      <c r="S22" s="9"/>
      <c r="T22" s="9"/>
      <c r="U22" s="9"/>
      <c r="V22" s="9"/>
      <c r="W22" s="9"/>
      <c r="X22" s="9"/>
      <c r="Y22" s="9"/>
      <c r="Z22" s="9"/>
      <c r="AA22" s="9"/>
    </row>
    <row r="23" spans="1:27" ht="105">
      <c r="A23" s="19" t="s">
        <v>908</v>
      </c>
      <c r="B23" s="21">
        <v>43919</v>
      </c>
      <c r="C23" s="37" t="s">
        <v>909</v>
      </c>
      <c r="D23" s="37" t="s">
        <v>885</v>
      </c>
      <c r="E23" s="24" t="str">
        <f>HYPERLINK("https://portal.ct.gov/Office-of-the-Governor/News/Press-Releases/2020/03-2020/Governor-Lamont-Announces-Approval-of-Federal-Disaster-Declaration","Governor Lamont Announces Approval of Federal Disaster Declaration for COVID-19 Response in Connecticut")</f>
        <v>Governor Lamont Announces Approval of Federal Disaster Declaration for COVID-19 Response in Connecticut</v>
      </c>
      <c r="F23" s="9"/>
      <c r="G23" s="9"/>
      <c r="H23" s="9"/>
      <c r="I23" s="9"/>
      <c r="J23" s="9"/>
      <c r="K23" s="9"/>
      <c r="L23" s="9"/>
      <c r="M23" s="9"/>
      <c r="N23" s="9"/>
      <c r="O23" s="9"/>
      <c r="P23" s="9"/>
      <c r="Q23" s="9"/>
      <c r="R23" s="9"/>
      <c r="S23" s="9"/>
      <c r="T23" s="9"/>
      <c r="U23" s="9"/>
      <c r="V23" s="9"/>
      <c r="W23" s="9"/>
      <c r="X23" s="9"/>
      <c r="Y23" s="9"/>
      <c r="Z23" s="9"/>
      <c r="AA23" s="9"/>
    </row>
    <row r="24" spans="1:27" ht="60">
      <c r="A24" s="19" t="s">
        <v>350</v>
      </c>
      <c r="B24" s="21">
        <v>43919</v>
      </c>
      <c r="C24" s="37" t="s">
        <v>910</v>
      </c>
      <c r="D24" s="37"/>
      <c r="E24" s="24" t="str">
        <f>HYPERLINK("https://gov.georgia.gov/press-releases/2020-03-30/gov-kemp-announces-federal-approval-major-disaster-declaration","Gov. Kemp Announces Federal Approval of Major Disaster Declaration")</f>
        <v>Gov. Kemp Announces Federal Approval of Major Disaster Declaration</v>
      </c>
      <c r="F24" s="9"/>
      <c r="G24" s="9"/>
      <c r="H24" s="9"/>
      <c r="I24" s="9"/>
      <c r="J24" s="9"/>
      <c r="K24" s="9"/>
      <c r="L24" s="9"/>
      <c r="M24" s="9"/>
      <c r="N24" s="9"/>
      <c r="O24" s="9"/>
      <c r="P24" s="9"/>
      <c r="Q24" s="9"/>
      <c r="R24" s="9"/>
      <c r="S24" s="9"/>
      <c r="T24" s="9"/>
      <c r="U24" s="9"/>
      <c r="V24" s="9"/>
      <c r="W24" s="9"/>
      <c r="X24" s="9"/>
      <c r="Y24" s="9"/>
      <c r="Z24" s="9"/>
      <c r="AA24" s="9"/>
    </row>
    <row r="25" spans="1:27" ht="90">
      <c r="A25" s="19" t="s">
        <v>911</v>
      </c>
      <c r="B25" s="21">
        <v>43919</v>
      </c>
      <c r="C25" s="37" t="s">
        <v>912</v>
      </c>
      <c r="D25" s="37" t="s">
        <v>897</v>
      </c>
      <c r="E25" s="24" t="str">
        <f>HYPERLINK("https://mayor.dc.gov/release/mayor-bowser-announces-dc-receives-federal-disaster-declaration-covid-19","Mayor Bowser Announces DC Receives Federal Disaster Declaration for COVID-19")</f>
        <v>Mayor Bowser Announces DC Receives Federal Disaster Declaration for COVID-19</v>
      </c>
      <c r="F25" s="9"/>
      <c r="G25" s="9"/>
      <c r="H25" s="21"/>
      <c r="I25" s="9"/>
      <c r="J25" s="9"/>
      <c r="K25" s="9"/>
      <c r="L25" s="9"/>
      <c r="M25" s="9"/>
      <c r="N25" s="9"/>
      <c r="O25" s="9"/>
      <c r="P25" s="9"/>
      <c r="Q25" s="9"/>
      <c r="R25" s="9"/>
      <c r="S25" s="9"/>
      <c r="T25" s="9"/>
      <c r="U25" s="9"/>
      <c r="V25" s="9"/>
      <c r="W25" s="9"/>
      <c r="X25" s="9"/>
      <c r="Y25" s="9"/>
      <c r="Z25" s="9"/>
      <c r="AA25" s="9"/>
    </row>
    <row r="26" spans="1:27" ht="90">
      <c r="A26" s="19" t="s">
        <v>6</v>
      </c>
      <c r="B26" s="21">
        <v>43920</v>
      </c>
      <c r="C26" s="37" t="s">
        <v>913</v>
      </c>
      <c r="D26" s="37"/>
      <c r="E26" s="24" t="str">
        <f>HYPERLINK("https://www.wkrg.com/health/coronavirus/president-trump-declares-covid-19-pandemic-major-disaster-in-alabama/","President Trump declares COVID-19 pandemic major disaster in Alabama")</f>
        <v>President Trump declares COVID-19 pandemic major disaster in Alabama</v>
      </c>
      <c r="F26" s="9"/>
      <c r="G26" s="9"/>
      <c r="H26" s="9"/>
      <c r="I26" s="9"/>
      <c r="J26" s="9"/>
      <c r="K26" s="9"/>
      <c r="L26" s="9"/>
      <c r="M26" s="9"/>
      <c r="N26" s="9"/>
      <c r="O26" s="9"/>
      <c r="P26" s="9"/>
      <c r="Q26" s="9"/>
      <c r="R26" s="9"/>
      <c r="S26" s="9"/>
      <c r="T26" s="9"/>
      <c r="U26" s="9"/>
      <c r="V26" s="9"/>
      <c r="W26" s="9"/>
      <c r="X26" s="9"/>
      <c r="Y26" s="9"/>
      <c r="Z26" s="9"/>
      <c r="AA26" s="9"/>
    </row>
    <row r="27" spans="1:27" ht="105">
      <c r="A27" s="19" t="s">
        <v>421</v>
      </c>
      <c r="B27" s="21">
        <v>43920</v>
      </c>
      <c r="C27" s="37" t="s">
        <v>914</v>
      </c>
      <c r="D27" s="37"/>
      <c r="E27" s="24" t="str">
        <f>HYPERLINK("https://www.ksnt.com/health/coronavirus/president-trump-approves-kansas-disaster-declaration-as-kansas-covid-19-cases-top-319/","President Trump approves Kansas disaster declaration as Kansas COVID-19 cases top 319")</f>
        <v>President Trump approves Kansas disaster declaration as Kansas COVID-19 cases top 319</v>
      </c>
      <c r="F27" s="9"/>
      <c r="G27" s="9"/>
      <c r="H27" s="9"/>
      <c r="I27" s="9"/>
      <c r="J27" s="9"/>
      <c r="K27" s="9"/>
      <c r="L27" s="9"/>
      <c r="M27" s="9"/>
      <c r="N27" s="9"/>
      <c r="O27" s="9"/>
      <c r="P27" s="9"/>
      <c r="Q27" s="9"/>
      <c r="R27" s="9"/>
      <c r="S27" s="9"/>
      <c r="T27" s="9"/>
      <c r="U27" s="9"/>
      <c r="V27" s="9"/>
      <c r="W27" s="9"/>
      <c r="X27" s="9"/>
      <c r="Y27" s="9"/>
      <c r="Z27" s="9"/>
      <c r="AA27" s="9"/>
    </row>
    <row r="28" spans="1:27" ht="60">
      <c r="A28" s="19" t="s">
        <v>724</v>
      </c>
      <c r="B28" s="21">
        <v>43921</v>
      </c>
      <c r="C28" s="37" t="s">
        <v>915</v>
      </c>
      <c r="D28" s="37"/>
      <c r="E28" s="24" t="str">
        <f>HYPERLINK("https://www.reed.senate.gov/news/releases/fema-ri-approved-for-coronavirus-disaster-declaration","RI Approved for Coronavirus Disaster Declaration")</f>
        <v>RI Approved for Coronavirus Disaster Declaration</v>
      </c>
      <c r="F28" s="9"/>
      <c r="G28" s="9"/>
      <c r="H28" s="9"/>
      <c r="I28" s="9"/>
      <c r="J28" s="9"/>
      <c r="K28" s="9"/>
      <c r="L28" s="9"/>
      <c r="M28" s="9"/>
      <c r="N28" s="9"/>
      <c r="O28" s="9"/>
      <c r="P28" s="9"/>
      <c r="Q28" s="9"/>
      <c r="R28" s="9"/>
      <c r="S28" s="9"/>
      <c r="T28" s="9"/>
      <c r="U28" s="9"/>
      <c r="V28" s="9"/>
      <c r="W28" s="9"/>
      <c r="X28" s="9"/>
      <c r="Y28" s="9"/>
      <c r="Z28" s="9"/>
      <c r="AA28" s="9"/>
    </row>
    <row r="29" spans="1:27" ht="135">
      <c r="A29" s="19" t="s">
        <v>699</v>
      </c>
      <c r="B29" s="21">
        <v>43921</v>
      </c>
      <c r="C29" s="37" t="s">
        <v>916</v>
      </c>
      <c r="D29" s="37"/>
      <c r="E29" s="24" t="str">
        <f>HYPERLINK("https://www.governor.pa.gov/newsroom/governor-wolf-request-for-major-disaster-declaration-approved/","Governor Wolf: Request for Major Disaster Declaration Approved")</f>
        <v>Governor Wolf: Request for Major Disaster Declaration Approved</v>
      </c>
      <c r="F29" s="9"/>
      <c r="G29" s="9"/>
      <c r="H29" s="9"/>
      <c r="I29" s="9"/>
      <c r="J29" s="9"/>
      <c r="K29" s="9"/>
      <c r="L29" s="9"/>
      <c r="M29" s="9"/>
      <c r="N29" s="9"/>
      <c r="O29" s="9"/>
      <c r="P29" s="9"/>
      <c r="Q29" s="9"/>
      <c r="R29" s="9"/>
      <c r="S29" s="9"/>
      <c r="T29" s="9"/>
      <c r="U29" s="9"/>
      <c r="V29" s="9"/>
      <c r="W29" s="9"/>
      <c r="X29" s="9"/>
      <c r="Y29" s="9"/>
      <c r="Z29" s="9"/>
      <c r="AA29" s="9"/>
    </row>
    <row r="30" spans="1:27" ht="45">
      <c r="A30" s="19" t="s">
        <v>637</v>
      </c>
      <c r="B30" s="21">
        <v>43921</v>
      </c>
      <c r="C30" s="37" t="s">
        <v>917</v>
      </c>
      <c r="D30" s="37"/>
      <c r="E30" s="24" t="str">
        <f>HYPERLINK("https://abc6onyourside.com/news/local/trump-approves-major-disaster-declaration-for-ohio-orders-federal-assistance-to-state","Trump approves major disaster declaration for Ohio, orders federal assistance to state")</f>
        <v>Trump approves major disaster declaration for Ohio, orders federal assistance to state</v>
      </c>
      <c r="F30" s="9"/>
      <c r="G30" s="9"/>
      <c r="H30" s="9"/>
      <c r="I30" s="9"/>
      <c r="J30" s="9"/>
      <c r="K30" s="9"/>
      <c r="L30" s="9"/>
      <c r="M30" s="9"/>
      <c r="N30" s="9"/>
      <c r="O30" s="9"/>
      <c r="P30" s="9"/>
      <c r="Q30" s="9"/>
      <c r="R30" s="9"/>
      <c r="S30" s="9"/>
      <c r="T30" s="9"/>
      <c r="U30" s="9"/>
      <c r="V30" s="9"/>
      <c r="W30" s="9"/>
      <c r="X30" s="9"/>
      <c r="Y30" s="9"/>
      <c r="Z30" s="9"/>
      <c r="AA30" s="9"/>
    </row>
    <row r="31" spans="1:27" ht="150">
      <c r="A31" s="19" t="s">
        <v>368</v>
      </c>
      <c r="B31" s="21">
        <v>43922</v>
      </c>
      <c r="C31" s="37" t="s">
        <v>918</v>
      </c>
      <c r="D31" s="37"/>
      <c r="E31" s="24" t="str">
        <f>HYPERLINK("https://dod.hawaii.gov/hiema/news-release-major-disaster-declaration-for-hawaii-as-a-result-of-covid-19/","MAJOR DISASTER DECLARATION FOR HAWAI’I AS A RESULT OF COVID-19")</f>
        <v>MAJOR DISASTER DECLARATION FOR HAWAI’I AS A RESULT OF COVID-19</v>
      </c>
      <c r="F31" s="9"/>
      <c r="G31" s="9"/>
      <c r="H31" s="9"/>
      <c r="I31" s="9"/>
      <c r="J31" s="9"/>
      <c r="K31" s="9"/>
      <c r="L31" s="9"/>
      <c r="M31" s="9"/>
      <c r="N31" s="9"/>
      <c r="O31" s="9"/>
      <c r="P31" s="9"/>
      <c r="Q31" s="9"/>
      <c r="R31" s="9"/>
      <c r="S31" s="9"/>
      <c r="T31" s="9"/>
      <c r="U31" s="9"/>
      <c r="V31" s="9"/>
      <c r="W31" s="9"/>
      <c r="X31" s="9"/>
      <c r="Y31" s="9"/>
      <c r="Z31" s="9"/>
      <c r="AA31" s="9"/>
    </row>
    <row r="32" spans="1:27" ht="60">
      <c r="A32" s="19" t="s">
        <v>554</v>
      </c>
      <c r="B32" s="21">
        <v>43922</v>
      </c>
      <c r="C32" s="37" t="s">
        <v>919</v>
      </c>
      <c r="D32" s="37"/>
      <c r="E32" s="24" t="str">
        <f>HYPERLINK("https://www.fema.gov/news-release/2020/04/01/president-donald-j-trump-approves-major-montana-disaster-declaration","President Donald J. Trump Approves Major Montana Disaster Declaration")</f>
        <v>President Donald J. Trump Approves Major Montana Disaster Declaration</v>
      </c>
      <c r="F32" s="9"/>
      <c r="G32" s="9"/>
      <c r="H32" s="9"/>
      <c r="I32" s="9"/>
      <c r="J32" s="9"/>
      <c r="K32" s="9"/>
      <c r="L32" s="9"/>
      <c r="M32" s="9"/>
      <c r="N32" s="9"/>
      <c r="O32" s="9"/>
      <c r="P32" s="9"/>
      <c r="Q32" s="9"/>
      <c r="R32" s="9"/>
      <c r="S32" s="9"/>
      <c r="T32" s="9"/>
      <c r="U32" s="9"/>
      <c r="V32" s="9"/>
      <c r="W32" s="9"/>
      <c r="X32" s="9"/>
      <c r="Y32" s="9"/>
      <c r="Z32" s="9"/>
      <c r="AA32" s="9"/>
    </row>
    <row r="33" spans="1:27" ht="90">
      <c r="A33" s="19" t="s">
        <v>632</v>
      </c>
      <c r="B33" s="21">
        <v>43922</v>
      </c>
      <c r="C33" s="37" t="s">
        <v>920</v>
      </c>
      <c r="D33" s="37"/>
      <c r="E33" s="24" t="str">
        <f>HYPERLINK("https://www.governor.nd.gov/news/president-grants-burgums-request-major-disaster-declaration-related-covid-19-response","President grants Burgum’s request for major disaster declaration related to COVID-19 response")</f>
        <v>President grants Burgum’s request for major disaster declaration related to COVID-19 response</v>
      </c>
      <c r="F33" s="9"/>
      <c r="G33" s="9"/>
      <c r="H33" s="9"/>
      <c r="I33" s="9"/>
      <c r="J33" s="9"/>
      <c r="K33" s="9"/>
      <c r="L33" s="9"/>
      <c r="M33" s="9"/>
      <c r="N33" s="9"/>
      <c r="O33" s="9"/>
      <c r="P33" s="9"/>
      <c r="Q33" s="9"/>
      <c r="R33" s="9"/>
      <c r="S33" s="9"/>
      <c r="T33" s="9"/>
      <c r="U33" s="9"/>
      <c r="V33" s="9"/>
      <c r="W33" s="9"/>
      <c r="X33" s="9"/>
      <c r="Y33" s="9"/>
      <c r="Z33" s="9"/>
      <c r="AA33" s="9"/>
    </row>
    <row r="34" spans="1:27" ht="105">
      <c r="A34" s="19" t="s">
        <v>921</v>
      </c>
      <c r="B34" s="21">
        <v>43923</v>
      </c>
      <c r="C34" s="37" t="s">
        <v>922</v>
      </c>
      <c r="D34" s="37" t="s">
        <v>923</v>
      </c>
      <c r="E34" s="24" t="str">
        <f>HYPERLINK("https://www.governor.virginia.gov/newsroom/all-releases/2020/april/headline-855921-en.html","Declaration provides additional support, federal funding to aid statewide response")</f>
        <v>Declaration provides additional support, federal funding to aid statewide response</v>
      </c>
      <c r="F34" s="9"/>
      <c r="G34" s="9"/>
      <c r="H34" s="9"/>
      <c r="I34" s="9"/>
      <c r="J34" s="9"/>
      <c r="K34" s="9"/>
      <c r="L34" s="9"/>
      <c r="M34" s="9"/>
      <c r="N34" s="9"/>
      <c r="O34" s="9"/>
      <c r="P34" s="9"/>
      <c r="Q34" s="9"/>
      <c r="R34" s="9"/>
      <c r="S34" s="9"/>
      <c r="T34" s="9"/>
      <c r="U34" s="9"/>
      <c r="V34" s="9"/>
      <c r="W34" s="9"/>
      <c r="X34" s="9"/>
      <c r="Y34" s="9"/>
      <c r="Z34" s="9"/>
      <c r="AA34" s="9"/>
    </row>
    <row r="35" spans="1:27" ht="75">
      <c r="A35" s="19" t="s">
        <v>743</v>
      </c>
      <c r="B35" s="21">
        <v>43923</v>
      </c>
      <c r="C35" s="37" t="s">
        <v>924</v>
      </c>
      <c r="D35" s="37"/>
      <c r="E35" s="24" t="str">
        <f>HYPERLINK("https://www.fema.gov/news-release/2020/04/02/president-donald-j-trump-approves-major-disaster-declaration-state-tennessee","President Donald J. Trump Approves Major Disaster Declaration for the State of Tennessee")</f>
        <v>President Donald J. Trump Approves Major Disaster Declaration for the State of Tennessee</v>
      </c>
      <c r="F35" s="9"/>
      <c r="G35" s="9"/>
      <c r="H35" s="9"/>
      <c r="I35" s="9"/>
      <c r="J35" s="9"/>
      <c r="K35" s="9"/>
      <c r="L35" s="9"/>
      <c r="M35" s="9"/>
      <c r="N35" s="9"/>
      <c r="O35" s="9"/>
      <c r="P35" s="9"/>
      <c r="Q35" s="9"/>
      <c r="R35" s="9"/>
      <c r="S35" s="9"/>
      <c r="T35" s="9"/>
      <c r="U35" s="9"/>
      <c r="V35" s="9"/>
      <c r="W35" s="9"/>
      <c r="X35" s="9"/>
      <c r="Y35" s="9"/>
      <c r="Z35" s="9"/>
      <c r="AA35" s="9"/>
    </row>
    <row r="36" spans="1:27">
      <c r="A36" s="9"/>
      <c r="B36" s="9"/>
      <c r="C36" s="5"/>
      <c r="D36" s="5"/>
      <c r="E36" s="5"/>
      <c r="F36" s="9"/>
      <c r="G36" s="9"/>
      <c r="H36" s="9"/>
      <c r="I36" s="9"/>
      <c r="J36" s="9"/>
      <c r="K36" s="9"/>
      <c r="L36" s="9"/>
      <c r="M36" s="9"/>
      <c r="N36" s="9"/>
      <c r="O36" s="9"/>
      <c r="P36" s="9"/>
      <c r="Q36" s="9"/>
      <c r="R36" s="9"/>
      <c r="S36" s="9"/>
      <c r="T36" s="9"/>
      <c r="U36" s="9"/>
      <c r="V36" s="9"/>
      <c r="W36" s="9"/>
      <c r="X36" s="9"/>
      <c r="Y36" s="9"/>
      <c r="Z36" s="9"/>
      <c r="AA36" s="9"/>
    </row>
    <row r="37" spans="1:27">
      <c r="A37" s="9"/>
      <c r="B37" s="9"/>
      <c r="C37" s="5"/>
      <c r="D37" s="5"/>
      <c r="E37" s="5"/>
      <c r="F37" s="9"/>
      <c r="G37" s="9"/>
      <c r="H37" s="9"/>
      <c r="I37" s="9"/>
      <c r="J37" s="9"/>
      <c r="K37" s="9"/>
      <c r="L37" s="9"/>
      <c r="M37" s="9"/>
      <c r="N37" s="9"/>
      <c r="O37" s="9"/>
      <c r="P37" s="9"/>
      <c r="Q37" s="9"/>
      <c r="R37" s="9"/>
      <c r="S37" s="9"/>
      <c r="T37" s="9"/>
      <c r="U37" s="9"/>
      <c r="V37" s="9"/>
      <c r="W37" s="9"/>
      <c r="X37" s="9"/>
      <c r="Y37" s="9"/>
      <c r="Z37" s="9"/>
      <c r="AA37" s="9"/>
    </row>
    <row r="38" spans="1:27">
      <c r="A38" s="9"/>
      <c r="B38" s="9"/>
      <c r="C38" s="5"/>
      <c r="D38" s="5"/>
      <c r="E38" s="5"/>
      <c r="F38" s="9"/>
      <c r="G38" s="9"/>
      <c r="H38" s="9"/>
      <c r="I38" s="9"/>
      <c r="J38" s="9"/>
      <c r="K38" s="9"/>
      <c r="L38" s="9"/>
      <c r="M38" s="9"/>
      <c r="N38" s="9"/>
      <c r="O38" s="9"/>
      <c r="P38" s="9"/>
      <c r="Q38" s="9"/>
      <c r="R38" s="9"/>
      <c r="S38" s="9"/>
      <c r="T38" s="9"/>
      <c r="U38" s="9"/>
      <c r="V38" s="9"/>
      <c r="W38" s="9"/>
      <c r="X38" s="9"/>
      <c r="Y38" s="9"/>
      <c r="Z38" s="9"/>
      <c r="AA38" s="9"/>
    </row>
    <row r="39" spans="1:27">
      <c r="A39" s="9"/>
      <c r="B39" s="9"/>
      <c r="C39" s="5"/>
      <c r="D39" s="5"/>
      <c r="E39" s="5"/>
      <c r="F39" s="9"/>
      <c r="G39" s="9"/>
      <c r="H39" s="9"/>
      <c r="I39" s="9"/>
      <c r="J39" s="9"/>
      <c r="K39" s="9"/>
      <c r="L39" s="9"/>
      <c r="M39" s="9"/>
      <c r="N39" s="9"/>
      <c r="O39" s="9"/>
      <c r="P39" s="9"/>
      <c r="Q39" s="9"/>
      <c r="R39" s="9"/>
      <c r="S39" s="9"/>
      <c r="T39" s="9"/>
      <c r="U39" s="9"/>
      <c r="V39" s="9"/>
      <c r="W39" s="9"/>
      <c r="X39" s="9"/>
      <c r="Y39" s="9"/>
      <c r="Z39" s="9"/>
      <c r="AA39" s="9"/>
    </row>
    <row r="40" spans="1:27">
      <c r="A40" s="9"/>
      <c r="B40" s="9"/>
      <c r="C40" s="5"/>
      <c r="D40" s="5"/>
      <c r="E40" s="5"/>
      <c r="F40" s="9"/>
      <c r="G40" s="9"/>
      <c r="H40" s="9"/>
      <c r="I40" s="9"/>
      <c r="J40" s="9"/>
      <c r="K40" s="9"/>
      <c r="L40" s="9"/>
      <c r="M40" s="9"/>
      <c r="N40" s="9"/>
      <c r="O40" s="9"/>
      <c r="P40" s="9"/>
      <c r="Q40" s="9"/>
      <c r="R40" s="9"/>
      <c r="S40" s="9"/>
      <c r="T40" s="9"/>
      <c r="U40" s="9"/>
      <c r="V40" s="9"/>
      <c r="W40" s="9"/>
      <c r="X40" s="9"/>
      <c r="Y40" s="9"/>
      <c r="Z40" s="9"/>
      <c r="AA40" s="9"/>
    </row>
    <row r="41" spans="1:27">
      <c r="A41" s="9"/>
      <c r="B41" s="9"/>
      <c r="C41" s="5"/>
      <c r="D41" s="5"/>
      <c r="E41" s="5"/>
      <c r="F41" s="9"/>
      <c r="G41" s="9"/>
      <c r="H41" s="9"/>
      <c r="I41" s="9"/>
      <c r="J41" s="9"/>
      <c r="K41" s="9"/>
      <c r="L41" s="9"/>
      <c r="M41" s="9"/>
      <c r="N41" s="9"/>
      <c r="O41" s="9"/>
      <c r="P41" s="9"/>
      <c r="Q41" s="9"/>
      <c r="R41" s="9"/>
      <c r="S41" s="9"/>
      <c r="T41" s="9"/>
      <c r="U41" s="9"/>
      <c r="V41" s="9"/>
      <c r="W41" s="9"/>
      <c r="X41" s="9"/>
      <c r="Y41" s="9"/>
      <c r="Z41" s="9"/>
      <c r="AA41" s="9"/>
    </row>
    <row r="42" spans="1:27">
      <c r="A42" s="9"/>
      <c r="B42" s="9"/>
      <c r="C42" s="5"/>
      <c r="D42" s="5"/>
      <c r="E42" s="5"/>
      <c r="F42" s="9"/>
      <c r="G42" s="9"/>
      <c r="H42" s="9"/>
      <c r="I42" s="9"/>
      <c r="J42" s="9"/>
      <c r="K42" s="9"/>
      <c r="L42" s="9"/>
      <c r="M42" s="9"/>
      <c r="N42" s="9"/>
      <c r="O42" s="9"/>
      <c r="P42" s="9"/>
      <c r="Q42" s="9"/>
      <c r="R42" s="9"/>
      <c r="S42" s="9"/>
      <c r="T42" s="9"/>
      <c r="U42" s="9"/>
      <c r="V42" s="9"/>
      <c r="W42" s="9"/>
      <c r="X42" s="9"/>
      <c r="Y42" s="9"/>
      <c r="Z42" s="9"/>
      <c r="AA42" s="9"/>
    </row>
    <row r="43" spans="1:27">
      <c r="A43" s="9"/>
      <c r="B43" s="9"/>
      <c r="C43" s="5"/>
      <c r="D43" s="5"/>
      <c r="E43" s="5"/>
      <c r="F43" s="9"/>
      <c r="G43" s="9"/>
      <c r="H43" s="9"/>
      <c r="I43" s="9"/>
      <c r="J43" s="9"/>
      <c r="K43" s="9"/>
      <c r="L43" s="9"/>
      <c r="M43" s="9"/>
      <c r="N43" s="9"/>
      <c r="O43" s="9"/>
      <c r="P43" s="9"/>
      <c r="Q43" s="9"/>
      <c r="R43" s="9"/>
      <c r="S43" s="9"/>
      <c r="T43" s="9"/>
      <c r="U43" s="9"/>
      <c r="V43" s="9"/>
      <c r="W43" s="9"/>
      <c r="X43" s="9"/>
      <c r="Y43" s="9"/>
      <c r="Z43" s="9"/>
      <c r="AA43" s="9"/>
    </row>
    <row r="44" spans="1:27">
      <c r="A44" s="9"/>
      <c r="B44" s="9"/>
      <c r="C44" s="5"/>
      <c r="D44" s="5"/>
      <c r="E44" s="5"/>
      <c r="F44" s="9"/>
      <c r="G44" s="9"/>
      <c r="H44" s="9"/>
      <c r="I44" s="9"/>
      <c r="J44" s="9"/>
      <c r="K44" s="9"/>
      <c r="L44" s="9"/>
      <c r="M44" s="9"/>
      <c r="N44" s="9"/>
      <c r="O44" s="9"/>
      <c r="P44" s="9"/>
      <c r="Q44" s="9"/>
      <c r="R44" s="9"/>
      <c r="S44" s="9"/>
      <c r="T44" s="9"/>
      <c r="U44" s="9"/>
      <c r="V44" s="9"/>
      <c r="W44" s="9"/>
      <c r="X44" s="9"/>
      <c r="Y44" s="9"/>
      <c r="Z44" s="9"/>
      <c r="AA44" s="9"/>
    </row>
    <row r="45" spans="1:27">
      <c r="A45" s="9"/>
      <c r="B45" s="9"/>
      <c r="C45" s="5"/>
      <c r="D45" s="5"/>
      <c r="E45" s="5"/>
      <c r="F45" s="9"/>
      <c r="G45" s="9"/>
      <c r="H45" s="9"/>
      <c r="I45" s="9"/>
      <c r="J45" s="9"/>
      <c r="K45" s="9"/>
      <c r="L45" s="9"/>
      <c r="M45" s="9"/>
      <c r="N45" s="9"/>
      <c r="O45" s="9"/>
      <c r="P45" s="9"/>
      <c r="Q45" s="9"/>
      <c r="R45" s="9"/>
      <c r="S45" s="9"/>
      <c r="T45" s="9"/>
      <c r="U45" s="9"/>
      <c r="V45" s="9"/>
      <c r="W45" s="9"/>
      <c r="X45" s="9"/>
      <c r="Y45" s="9"/>
      <c r="Z45" s="9"/>
      <c r="AA45" s="9"/>
    </row>
    <row r="46" spans="1:27">
      <c r="A46" s="9"/>
      <c r="B46" s="9"/>
      <c r="C46" s="5"/>
      <c r="D46" s="5"/>
      <c r="E46" s="5"/>
      <c r="F46" s="9"/>
      <c r="G46" s="9"/>
      <c r="H46" s="9"/>
      <c r="I46" s="9"/>
      <c r="J46" s="9"/>
      <c r="K46" s="9"/>
      <c r="L46" s="9"/>
      <c r="M46" s="9"/>
      <c r="N46" s="9"/>
      <c r="O46" s="9"/>
      <c r="P46" s="9"/>
      <c r="Q46" s="9"/>
      <c r="R46" s="9"/>
      <c r="S46" s="9"/>
      <c r="T46" s="9"/>
      <c r="U46" s="9"/>
      <c r="V46" s="9"/>
      <c r="W46" s="9"/>
      <c r="X46" s="9"/>
      <c r="Y46" s="9"/>
      <c r="Z46" s="9"/>
      <c r="AA46" s="9"/>
    </row>
    <row r="47" spans="1:27">
      <c r="A47" s="9"/>
      <c r="B47" s="9"/>
      <c r="C47" s="5"/>
      <c r="D47" s="5"/>
      <c r="E47" s="5"/>
      <c r="F47" s="9"/>
      <c r="G47" s="9"/>
      <c r="H47" s="9"/>
      <c r="I47" s="9"/>
      <c r="J47" s="9"/>
      <c r="K47" s="9"/>
      <c r="L47" s="9"/>
      <c r="M47" s="9"/>
      <c r="N47" s="9"/>
      <c r="O47" s="9"/>
      <c r="P47" s="9"/>
      <c r="Q47" s="9"/>
      <c r="R47" s="9"/>
      <c r="S47" s="9"/>
      <c r="T47" s="9"/>
      <c r="U47" s="9"/>
      <c r="V47" s="9"/>
      <c r="W47" s="9"/>
      <c r="X47" s="9"/>
      <c r="Y47" s="9"/>
      <c r="Z47" s="9"/>
      <c r="AA47" s="9"/>
    </row>
    <row r="48" spans="1:27">
      <c r="A48" s="9"/>
      <c r="B48" s="9"/>
      <c r="C48" s="5"/>
      <c r="D48" s="5"/>
      <c r="E48" s="5"/>
      <c r="F48" s="9"/>
      <c r="G48" s="9"/>
      <c r="H48" s="9"/>
      <c r="I48" s="9"/>
      <c r="J48" s="9"/>
      <c r="K48" s="9"/>
      <c r="L48" s="9"/>
      <c r="M48" s="9"/>
      <c r="N48" s="9"/>
      <c r="O48" s="9"/>
      <c r="P48" s="9"/>
      <c r="Q48" s="9"/>
      <c r="R48" s="9"/>
      <c r="S48" s="9"/>
      <c r="T48" s="9"/>
      <c r="U48" s="9"/>
      <c r="V48" s="9"/>
      <c r="W48" s="9"/>
      <c r="X48" s="9"/>
      <c r="Y48" s="9"/>
      <c r="Z48" s="9"/>
      <c r="AA48" s="9"/>
    </row>
    <row r="49" spans="1:27">
      <c r="A49" s="9"/>
      <c r="B49" s="9"/>
      <c r="C49" s="5"/>
      <c r="D49" s="5"/>
      <c r="E49" s="5"/>
      <c r="F49" s="9"/>
      <c r="G49" s="9"/>
      <c r="H49" s="9"/>
      <c r="I49" s="9"/>
      <c r="J49" s="9"/>
      <c r="K49" s="9"/>
      <c r="L49" s="9"/>
      <c r="M49" s="9"/>
      <c r="N49" s="9"/>
      <c r="O49" s="9"/>
      <c r="P49" s="9"/>
      <c r="Q49" s="9"/>
      <c r="R49" s="9"/>
      <c r="S49" s="9"/>
      <c r="T49" s="9"/>
      <c r="U49" s="9"/>
      <c r="V49" s="9"/>
      <c r="W49" s="9"/>
      <c r="X49" s="9"/>
      <c r="Y49" s="9"/>
      <c r="Z49" s="9"/>
      <c r="AA49" s="9"/>
    </row>
    <row r="50" spans="1:27">
      <c r="A50" s="9"/>
      <c r="B50" s="9"/>
      <c r="C50" s="5"/>
      <c r="D50" s="5"/>
      <c r="E50" s="5"/>
      <c r="F50" s="9"/>
      <c r="G50" s="9"/>
      <c r="H50" s="9"/>
      <c r="I50" s="9"/>
      <c r="J50" s="9"/>
      <c r="K50" s="9"/>
      <c r="L50" s="9"/>
      <c r="M50" s="9"/>
      <c r="N50" s="9"/>
      <c r="O50" s="9"/>
      <c r="P50" s="9"/>
      <c r="Q50" s="9"/>
      <c r="R50" s="9"/>
      <c r="S50" s="9"/>
      <c r="T50" s="9"/>
      <c r="U50" s="9"/>
      <c r="V50" s="9"/>
      <c r="W50" s="9"/>
      <c r="X50" s="9"/>
      <c r="Y50" s="9"/>
      <c r="Z50" s="9"/>
      <c r="AA50" s="9"/>
    </row>
    <row r="51" spans="1:27">
      <c r="A51" s="9"/>
      <c r="B51" s="9"/>
      <c r="C51" s="5"/>
      <c r="D51" s="5"/>
      <c r="E51" s="5"/>
      <c r="F51" s="9"/>
      <c r="G51" s="9"/>
      <c r="H51" s="9"/>
      <c r="I51" s="9"/>
      <c r="J51" s="9"/>
      <c r="K51" s="9"/>
      <c r="L51" s="9"/>
      <c r="M51" s="9"/>
      <c r="N51" s="9"/>
      <c r="O51" s="9"/>
      <c r="P51" s="9"/>
      <c r="Q51" s="9"/>
      <c r="R51" s="9"/>
      <c r="S51" s="9"/>
      <c r="T51" s="9"/>
      <c r="U51" s="9"/>
      <c r="V51" s="9"/>
      <c r="W51" s="9"/>
      <c r="X51" s="9"/>
      <c r="Y51" s="9"/>
      <c r="Z51" s="9"/>
      <c r="AA51" s="9"/>
    </row>
    <row r="52" spans="1:27">
      <c r="A52" s="9"/>
      <c r="B52" s="9"/>
      <c r="C52" s="5"/>
      <c r="D52" s="5"/>
      <c r="E52" s="5"/>
      <c r="F52" s="9"/>
      <c r="G52" s="9"/>
      <c r="H52" s="9"/>
      <c r="I52" s="9"/>
      <c r="J52" s="9"/>
      <c r="K52" s="9"/>
      <c r="L52" s="9"/>
      <c r="M52" s="9"/>
      <c r="N52" s="9"/>
      <c r="O52" s="9"/>
      <c r="P52" s="9"/>
      <c r="Q52" s="9"/>
      <c r="R52" s="9"/>
      <c r="S52" s="9"/>
      <c r="T52" s="9"/>
      <c r="U52" s="9"/>
      <c r="V52" s="9"/>
      <c r="W52" s="9"/>
      <c r="X52" s="9"/>
      <c r="Y52" s="9"/>
      <c r="Z52" s="9"/>
      <c r="AA52" s="9"/>
    </row>
    <row r="53" spans="1:27">
      <c r="A53" s="9"/>
      <c r="B53" s="9"/>
      <c r="C53" s="5"/>
      <c r="D53" s="5"/>
      <c r="E53" s="5"/>
      <c r="F53" s="9"/>
      <c r="G53" s="9"/>
      <c r="H53" s="9"/>
      <c r="I53" s="9"/>
      <c r="J53" s="9"/>
      <c r="K53" s="9"/>
      <c r="L53" s="9"/>
      <c r="M53" s="9"/>
      <c r="N53" s="9"/>
      <c r="O53" s="9"/>
      <c r="P53" s="9"/>
      <c r="Q53" s="9"/>
      <c r="R53" s="9"/>
      <c r="S53" s="9"/>
      <c r="T53" s="9"/>
      <c r="U53" s="9"/>
      <c r="V53" s="9"/>
      <c r="W53" s="9"/>
      <c r="X53" s="9"/>
      <c r="Y53" s="9"/>
      <c r="Z53" s="9"/>
      <c r="AA53" s="9"/>
    </row>
    <row r="54" spans="1:27">
      <c r="A54" s="9"/>
      <c r="B54" s="9"/>
      <c r="C54" s="5"/>
      <c r="D54" s="5"/>
      <c r="E54" s="5"/>
      <c r="F54" s="9"/>
      <c r="G54" s="9"/>
      <c r="H54" s="9"/>
      <c r="I54" s="9"/>
      <c r="J54" s="9"/>
      <c r="K54" s="9"/>
      <c r="L54" s="9"/>
      <c r="M54" s="9"/>
      <c r="N54" s="9"/>
      <c r="O54" s="9"/>
      <c r="P54" s="9"/>
      <c r="Q54" s="9"/>
      <c r="R54" s="9"/>
      <c r="S54" s="9"/>
      <c r="T54" s="9"/>
      <c r="U54" s="9"/>
      <c r="V54" s="9"/>
      <c r="W54" s="9"/>
      <c r="X54" s="9"/>
      <c r="Y54" s="9"/>
      <c r="Z54" s="9"/>
      <c r="AA54" s="9"/>
    </row>
    <row r="55" spans="1:27">
      <c r="A55" s="9"/>
      <c r="B55" s="9"/>
      <c r="C55" s="5"/>
      <c r="D55" s="5"/>
      <c r="E55" s="5"/>
      <c r="F55" s="9"/>
      <c r="G55" s="9"/>
      <c r="H55" s="9"/>
      <c r="I55" s="9"/>
      <c r="J55" s="9"/>
      <c r="K55" s="9"/>
      <c r="L55" s="9"/>
      <c r="M55" s="9"/>
      <c r="N55" s="9"/>
      <c r="O55" s="9"/>
      <c r="P55" s="9"/>
      <c r="Q55" s="9"/>
      <c r="R55" s="9"/>
      <c r="S55" s="9"/>
      <c r="T55" s="9"/>
      <c r="U55" s="9"/>
      <c r="V55" s="9"/>
      <c r="W55" s="9"/>
      <c r="X55" s="9"/>
      <c r="Y55" s="9"/>
      <c r="Z55" s="9"/>
      <c r="AA55" s="9"/>
    </row>
    <row r="56" spans="1:27">
      <c r="A56" s="9"/>
      <c r="B56" s="9"/>
      <c r="C56" s="5"/>
      <c r="D56" s="5"/>
      <c r="E56" s="5"/>
      <c r="F56" s="9"/>
      <c r="G56" s="9"/>
      <c r="H56" s="9"/>
      <c r="I56" s="9"/>
      <c r="J56" s="9"/>
      <c r="K56" s="9"/>
      <c r="L56" s="9"/>
      <c r="M56" s="9"/>
      <c r="N56" s="9"/>
      <c r="O56" s="9"/>
      <c r="P56" s="9"/>
      <c r="Q56" s="9"/>
      <c r="R56" s="9"/>
      <c r="S56" s="9"/>
      <c r="T56" s="9"/>
      <c r="U56" s="9"/>
      <c r="V56" s="9"/>
      <c r="W56" s="9"/>
      <c r="X56" s="9"/>
      <c r="Y56" s="9"/>
      <c r="Z56" s="9"/>
      <c r="AA56" s="9"/>
    </row>
    <row r="57" spans="1:27">
      <c r="A57" s="9"/>
      <c r="B57" s="9"/>
      <c r="C57" s="5"/>
      <c r="D57" s="5"/>
      <c r="E57" s="5"/>
      <c r="F57" s="9"/>
      <c r="G57" s="9"/>
      <c r="H57" s="9"/>
      <c r="I57" s="9"/>
      <c r="J57" s="9"/>
      <c r="K57" s="9"/>
      <c r="L57" s="9"/>
      <c r="M57" s="9"/>
      <c r="N57" s="9"/>
      <c r="O57" s="9"/>
      <c r="P57" s="9"/>
      <c r="Q57" s="9"/>
      <c r="R57" s="9"/>
      <c r="S57" s="9"/>
      <c r="T57" s="9"/>
      <c r="U57" s="9"/>
      <c r="V57" s="9"/>
      <c r="W57" s="9"/>
      <c r="X57" s="9"/>
      <c r="Y57" s="9"/>
      <c r="Z57" s="9"/>
      <c r="AA57" s="9"/>
    </row>
    <row r="58" spans="1:27">
      <c r="A58" s="9"/>
      <c r="B58" s="9"/>
      <c r="C58" s="5"/>
      <c r="D58" s="5"/>
      <c r="E58" s="5"/>
      <c r="F58" s="9"/>
      <c r="G58" s="9"/>
      <c r="H58" s="9"/>
      <c r="I58" s="9"/>
      <c r="J58" s="9"/>
      <c r="K58" s="9"/>
      <c r="L58" s="9"/>
      <c r="M58" s="9"/>
      <c r="N58" s="9"/>
      <c r="O58" s="9"/>
      <c r="P58" s="9"/>
      <c r="Q58" s="9"/>
      <c r="R58" s="9"/>
      <c r="S58" s="9"/>
      <c r="T58" s="9"/>
      <c r="U58" s="9"/>
      <c r="V58" s="9"/>
      <c r="W58" s="9"/>
      <c r="X58" s="9"/>
      <c r="Y58" s="9"/>
      <c r="Z58" s="9"/>
      <c r="AA58" s="9"/>
    </row>
    <row r="59" spans="1:27">
      <c r="A59" s="9"/>
      <c r="B59" s="9"/>
      <c r="C59" s="5"/>
      <c r="D59" s="5"/>
      <c r="E59" s="5"/>
      <c r="F59" s="9"/>
      <c r="G59" s="9"/>
      <c r="H59" s="9"/>
      <c r="I59" s="9"/>
      <c r="J59" s="9"/>
      <c r="K59" s="9"/>
      <c r="L59" s="9"/>
      <c r="M59" s="9"/>
      <c r="N59" s="9"/>
      <c r="O59" s="9"/>
      <c r="P59" s="9"/>
      <c r="Q59" s="9"/>
      <c r="R59" s="9"/>
      <c r="S59" s="9"/>
      <c r="T59" s="9"/>
      <c r="U59" s="9"/>
      <c r="V59" s="9"/>
      <c r="W59" s="9"/>
      <c r="X59" s="9"/>
      <c r="Y59" s="9"/>
      <c r="Z59" s="9"/>
      <c r="AA59" s="9"/>
    </row>
    <row r="60" spans="1:27">
      <c r="A60" s="9"/>
      <c r="B60" s="9"/>
      <c r="C60" s="5"/>
      <c r="D60" s="5"/>
      <c r="E60" s="5"/>
      <c r="F60" s="9"/>
      <c r="G60" s="9"/>
      <c r="H60" s="9"/>
      <c r="I60" s="9"/>
      <c r="J60" s="9"/>
      <c r="K60" s="9"/>
      <c r="L60" s="9"/>
      <c r="M60" s="9"/>
      <c r="N60" s="9"/>
      <c r="O60" s="9"/>
      <c r="P60" s="9"/>
      <c r="Q60" s="9"/>
      <c r="R60" s="9"/>
      <c r="S60" s="9"/>
      <c r="T60" s="9"/>
      <c r="U60" s="9"/>
      <c r="V60" s="9"/>
      <c r="W60" s="9"/>
      <c r="X60" s="9"/>
      <c r="Y60" s="9"/>
      <c r="Z60" s="9"/>
      <c r="AA60" s="9"/>
    </row>
    <row r="61" spans="1:27">
      <c r="A61" s="9"/>
      <c r="B61" s="9"/>
      <c r="C61" s="5"/>
      <c r="D61" s="5"/>
      <c r="E61" s="5"/>
      <c r="F61" s="9"/>
      <c r="G61" s="9"/>
      <c r="H61" s="9"/>
      <c r="I61" s="9"/>
      <c r="J61" s="9"/>
      <c r="K61" s="9"/>
      <c r="L61" s="9"/>
      <c r="M61" s="9"/>
      <c r="N61" s="9"/>
      <c r="O61" s="9"/>
      <c r="P61" s="9"/>
      <c r="Q61" s="9"/>
      <c r="R61" s="9"/>
      <c r="S61" s="9"/>
      <c r="T61" s="9"/>
      <c r="U61" s="9"/>
      <c r="V61" s="9"/>
      <c r="W61" s="9"/>
      <c r="X61" s="9"/>
      <c r="Y61" s="9"/>
      <c r="Z61" s="9"/>
      <c r="AA61" s="9"/>
    </row>
    <row r="62" spans="1:27">
      <c r="A62" s="9"/>
      <c r="B62" s="9"/>
      <c r="C62" s="5"/>
      <c r="D62" s="5"/>
      <c r="E62" s="5"/>
      <c r="F62" s="9"/>
      <c r="G62" s="9"/>
      <c r="H62" s="9"/>
      <c r="I62" s="9"/>
      <c r="J62" s="9"/>
      <c r="K62" s="9"/>
      <c r="L62" s="9"/>
      <c r="M62" s="9"/>
      <c r="N62" s="9"/>
      <c r="O62" s="9"/>
      <c r="P62" s="9"/>
      <c r="Q62" s="9"/>
      <c r="R62" s="9"/>
      <c r="S62" s="9"/>
      <c r="T62" s="9"/>
      <c r="U62" s="9"/>
      <c r="V62" s="9"/>
      <c r="W62" s="9"/>
      <c r="X62" s="9"/>
      <c r="Y62" s="9"/>
      <c r="Z62" s="9"/>
      <c r="AA62" s="9"/>
    </row>
    <row r="63" spans="1:27">
      <c r="A63" s="9"/>
      <c r="B63" s="9"/>
      <c r="C63" s="5"/>
      <c r="D63" s="5"/>
      <c r="E63" s="5"/>
      <c r="F63" s="9"/>
      <c r="G63" s="9"/>
      <c r="H63" s="9"/>
      <c r="I63" s="9"/>
      <c r="J63" s="9"/>
      <c r="K63" s="9"/>
      <c r="L63" s="9"/>
      <c r="M63" s="9"/>
      <c r="N63" s="9"/>
      <c r="O63" s="9"/>
      <c r="P63" s="9"/>
      <c r="Q63" s="9"/>
      <c r="R63" s="9"/>
      <c r="S63" s="9"/>
      <c r="T63" s="9"/>
      <c r="U63" s="9"/>
      <c r="V63" s="9"/>
      <c r="W63" s="9"/>
      <c r="X63" s="9"/>
      <c r="Y63" s="9"/>
      <c r="Z63" s="9"/>
      <c r="AA63" s="9"/>
    </row>
    <row r="64" spans="1:27">
      <c r="A64" s="9"/>
      <c r="B64" s="9"/>
      <c r="C64" s="5"/>
      <c r="D64" s="5"/>
      <c r="E64" s="5"/>
      <c r="F64" s="9"/>
      <c r="G64" s="9"/>
      <c r="H64" s="9"/>
      <c r="I64" s="9"/>
      <c r="J64" s="9"/>
      <c r="K64" s="9"/>
      <c r="L64" s="9"/>
      <c r="M64" s="9"/>
      <c r="N64" s="9"/>
      <c r="O64" s="9"/>
      <c r="P64" s="9"/>
      <c r="Q64" s="9"/>
      <c r="R64" s="9"/>
      <c r="S64" s="9"/>
      <c r="T64" s="9"/>
      <c r="U64" s="9"/>
      <c r="V64" s="9"/>
      <c r="W64" s="9"/>
      <c r="X64" s="9"/>
      <c r="Y64" s="9"/>
      <c r="Z64" s="9"/>
      <c r="AA64" s="9"/>
    </row>
    <row r="65" spans="1:27">
      <c r="A65" s="9"/>
      <c r="B65" s="9"/>
      <c r="C65" s="5"/>
      <c r="D65" s="5"/>
      <c r="E65" s="5"/>
      <c r="F65" s="9"/>
      <c r="G65" s="9"/>
      <c r="H65" s="9"/>
      <c r="I65" s="9"/>
      <c r="J65" s="9"/>
      <c r="K65" s="9"/>
      <c r="L65" s="9"/>
      <c r="M65" s="9"/>
      <c r="N65" s="9"/>
      <c r="O65" s="9"/>
      <c r="P65" s="9"/>
      <c r="Q65" s="9"/>
      <c r="R65" s="9"/>
      <c r="S65" s="9"/>
      <c r="T65" s="9"/>
      <c r="U65" s="9"/>
      <c r="V65" s="9"/>
      <c r="W65" s="9"/>
      <c r="X65" s="9"/>
      <c r="Y65" s="9"/>
      <c r="Z65" s="9"/>
      <c r="AA65" s="9"/>
    </row>
    <row r="66" spans="1:27">
      <c r="A66" s="9"/>
      <c r="B66" s="9"/>
      <c r="C66" s="5"/>
      <c r="D66" s="5"/>
      <c r="E66" s="5"/>
      <c r="F66" s="9"/>
      <c r="G66" s="9"/>
      <c r="H66" s="9"/>
      <c r="I66" s="9"/>
      <c r="J66" s="9"/>
      <c r="K66" s="9"/>
      <c r="L66" s="9"/>
      <c r="M66" s="9"/>
      <c r="N66" s="9"/>
      <c r="O66" s="9"/>
      <c r="P66" s="9"/>
      <c r="Q66" s="9"/>
      <c r="R66" s="9"/>
      <c r="S66" s="9"/>
      <c r="T66" s="9"/>
      <c r="U66" s="9"/>
      <c r="V66" s="9"/>
      <c r="W66" s="9"/>
      <c r="X66" s="9"/>
      <c r="Y66" s="9"/>
      <c r="Z66" s="9"/>
      <c r="AA66" s="9"/>
    </row>
    <row r="67" spans="1:27">
      <c r="A67" s="9"/>
      <c r="B67" s="9"/>
      <c r="C67" s="5"/>
      <c r="D67" s="5"/>
      <c r="E67" s="5"/>
      <c r="F67" s="9"/>
      <c r="G67" s="9"/>
      <c r="H67" s="9"/>
      <c r="I67" s="9"/>
      <c r="J67" s="9"/>
      <c r="K67" s="9"/>
      <c r="L67" s="9"/>
      <c r="M67" s="9"/>
      <c r="N67" s="9"/>
      <c r="O67" s="9"/>
      <c r="P67" s="9"/>
      <c r="Q67" s="9"/>
      <c r="R67" s="9"/>
      <c r="S67" s="9"/>
      <c r="T67" s="9"/>
      <c r="U67" s="9"/>
      <c r="V67" s="9"/>
      <c r="W67" s="9"/>
      <c r="X67" s="9"/>
      <c r="Y67" s="9"/>
      <c r="Z67" s="9"/>
      <c r="AA67" s="9"/>
    </row>
    <row r="68" spans="1:27">
      <c r="A68" s="9"/>
      <c r="B68" s="9"/>
      <c r="C68" s="5"/>
      <c r="D68" s="5"/>
      <c r="E68" s="5"/>
      <c r="F68" s="9"/>
      <c r="G68" s="9"/>
      <c r="H68" s="9"/>
      <c r="I68" s="9"/>
      <c r="J68" s="9"/>
      <c r="K68" s="9"/>
      <c r="L68" s="9"/>
      <c r="M68" s="9"/>
      <c r="N68" s="9"/>
      <c r="O68" s="9"/>
      <c r="P68" s="9"/>
      <c r="Q68" s="9"/>
      <c r="R68" s="9"/>
      <c r="S68" s="9"/>
      <c r="T68" s="9"/>
      <c r="U68" s="9"/>
      <c r="V68" s="9"/>
      <c r="W68" s="9"/>
      <c r="X68" s="9"/>
      <c r="Y68" s="9"/>
      <c r="Z68" s="9"/>
      <c r="AA68" s="9"/>
    </row>
    <row r="69" spans="1:27">
      <c r="A69" s="9"/>
      <c r="B69" s="9"/>
      <c r="C69" s="5"/>
      <c r="D69" s="5"/>
      <c r="E69" s="5"/>
      <c r="F69" s="9"/>
      <c r="G69" s="9"/>
      <c r="H69" s="9"/>
      <c r="I69" s="9"/>
      <c r="J69" s="9"/>
      <c r="K69" s="9"/>
      <c r="L69" s="9"/>
      <c r="M69" s="9"/>
      <c r="N69" s="9"/>
      <c r="O69" s="9"/>
      <c r="P69" s="9"/>
      <c r="Q69" s="9"/>
      <c r="R69" s="9"/>
      <c r="S69" s="9"/>
      <c r="T69" s="9"/>
      <c r="U69" s="9"/>
      <c r="V69" s="9"/>
      <c r="W69" s="9"/>
      <c r="X69" s="9"/>
      <c r="Y69" s="9"/>
      <c r="Z69" s="9"/>
      <c r="AA69" s="9"/>
    </row>
    <row r="70" spans="1:27">
      <c r="A70" s="9"/>
      <c r="B70" s="9"/>
      <c r="C70" s="5"/>
      <c r="D70" s="5"/>
      <c r="E70" s="5"/>
      <c r="F70" s="9"/>
      <c r="G70" s="9"/>
      <c r="H70" s="9"/>
      <c r="I70" s="9"/>
      <c r="J70" s="9"/>
      <c r="K70" s="9"/>
      <c r="L70" s="9"/>
      <c r="M70" s="9"/>
      <c r="N70" s="9"/>
      <c r="O70" s="9"/>
      <c r="P70" s="9"/>
      <c r="Q70" s="9"/>
      <c r="R70" s="9"/>
      <c r="S70" s="9"/>
      <c r="T70" s="9"/>
      <c r="U70" s="9"/>
      <c r="V70" s="9"/>
      <c r="W70" s="9"/>
      <c r="X70" s="9"/>
      <c r="Y70" s="9"/>
      <c r="Z70" s="9"/>
      <c r="AA70" s="9"/>
    </row>
    <row r="71" spans="1:27">
      <c r="A71" s="9"/>
      <c r="B71" s="9"/>
      <c r="C71" s="5"/>
      <c r="D71" s="5"/>
      <c r="E71" s="5"/>
      <c r="F71" s="9"/>
      <c r="G71" s="9"/>
      <c r="H71" s="9"/>
      <c r="I71" s="9"/>
      <c r="J71" s="9"/>
      <c r="K71" s="9"/>
      <c r="L71" s="9"/>
      <c r="M71" s="9"/>
      <c r="N71" s="9"/>
      <c r="O71" s="9"/>
      <c r="P71" s="9"/>
      <c r="Q71" s="9"/>
      <c r="R71" s="9"/>
      <c r="S71" s="9"/>
      <c r="T71" s="9"/>
      <c r="U71" s="9"/>
      <c r="V71" s="9"/>
      <c r="W71" s="9"/>
      <c r="X71" s="9"/>
      <c r="Y71" s="9"/>
      <c r="Z71" s="9"/>
      <c r="AA71" s="9"/>
    </row>
    <row r="72" spans="1:27">
      <c r="A72" s="9"/>
      <c r="B72" s="9"/>
      <c r="C72" s="5"/>
      <c r="D72" s="5"/>
      <c r="E72" s="5"/>
      <c r="F72" s="9"/>
      <c r="G72" s="9"/>
      <c r="H72" s="9"/>
      <c r="I72" s="9"/>
      <c r="J72" s="9"/>
      <c r="K72" s="9"/>
      <c r="L72" s="9"/>
      <c r="M72" s="9"/>
      <c r="N72" s="9"/>
      <c r="O72" s="9"/>
      <c r="P72" s="9"/>
      <c r="Q72" s="9"/>
      <c r="R72" s="9"/>
      <c r="S72" s="9"/>
      <c r="T72" s="9"/>
      <c r="U72" s="9"/>
      <c r="V72" s="9"/>
      <c r="W72" s="9"/>
      <c r="X72" s="9"/>
      <c r="Y72" s="9"/>
      <c r="Z72" s="9"/>
      <c r="AA72" s="9"/>
    </row>
    <row r="73" spans="1:27">
      <c r="A73" s="9"/>
      <c r="B73" s="9"/>
      <c r="C73" s="5"/>
      <c r="D73" s="5"/>
      <c r="E73" s="5"/>
      <c r="F73" s="9"/>
      <c r="G73" s="9"/>
      <c r="H73" s="9"/>
      <c r="I73" s="9"/>
      <c r="J73" s="9"/>
      <c r="K73" s="9"/>
      <c r="L73" s="9"/>
      <c r="M73" s="9"/>
      <c r="N73" s="9"/>
      <c r="O73" s="9"/>
      <c r="P73" s="9"/>
      <c r="Q73" s="9"/>
      <c r="R73" s="9"/>
      <c r="S73" s="9"/>
      <c r="T73" s="9"/>
      <c r="U73" s="9"/>
      <c r="V73" s="9"/>
      <c r="W73" s="9"/>
      <c r="X73" s="9"/>
      <c r="Y73" s="9"/>
      <c r="Z73" s="9"/>
      <c r="AA73" s="9"/>
    </row>
    <row r="74" spans="1:27">
      <c r="A74" s="9"/>
      <c r="B74" s="9"/>
      <c r="C74" s="5"/>
      <c r="D74" s="5"/>
      <c r="E74" s="5"/>
      <c r="F74" s="9"/>
      <c r="G74" s="9"/>
      <c r="H74" s="9"/>
      <c r="I74" s="9"/>
      <c r="J74" s="9"/>
      <c r="K74" s="9"/>
      <c r="L74" s="9"/>
      <c r="M74" s="9"/>
      <c r="N74" s="9"/>
      <c r="O74" s="9"/>
      <c r="P74" s="9"/>
      <c r="Q74" s="9"/>
      <c r="R74" s="9"/>
      <c r="S74" s="9"/>
      <c r="T74" s="9"/>
      <c r="U74" s="9"/>
      <c r="V74" s="9"/>
      <c r="W74" s="9"/>
      <c r="X74" s="9"/>
      <c r="Y74" s="9"/>
      <c r="Z74" s="9"/>
      <c r="AA74" s="9"/>
    </row>
    <row r="75" spans="1:27">
      <c r="A75" s="9"/>
      <c r="B75" s="9"/>
      <c r="C75" s="5"/>
      <c r="D75" s="5"/>
      <c r="E75" s="5"/>
      <c r="F75" s="9"/>
      <c r="G75" s="9"/>
      <c r="H75" s="9"/>
      <c r="I75" s="9"/>
      <c r="J75" s="9"/>
      <c r="K75" s="9"/>
      <c r="L75" s="9"/>
      <c r="M75" s="9"/>
      <c r="N75" s="9"/>
      <c r="O75" s="9"/>
      <c r="P75" s="9"/>
      <c r="Q75" s="9"/>
      <c r="R75" s="9"/>
      <c r="S75" s="9"/>
      <c r="T75" s="9"/>
      <c r="U75" s="9"/>
      <c r="V75" s="9"/>
      <c r="W75" s="9"/>
      <c r="X75" s="9"/>
      <c r="Y75" s="9"/>
      <c r="Z75" s="9"/>
      <c r="AA75" s="9"/>
    </row>
    <row r="76" spans="1:27">
      <c r="A76" s="9"/>
      <c r="B76" s="9"/>
      <c r="C76" s="5"/>
      <c r="D76" s="5"/>
      <c r="E76" s="5"/>
      <c r="F76" s="9"/>
      <c r="G76" s="9"/>
      <c r="H76" s="9"/>
      <c r="I76" s="9"/>
      <c r="J76" s="9"/>
      <c r="K76" s="9"/>
      <c r="L76" s="9"/>
      <c r="M76" s="9"/>
      <c r="N76" s="9"/>
      <c r="O76" s="9"/>
      <c r="P76" s="9"/>
      <c r="Q76" s="9"/>
      <c r="R76" s="9"/>
      <c r="S76" s="9"/>
      <c r="T76" s="9"/>
      <c r="U76" s="9"/>
      <c r="V76" s="9"/>
      <c r="W76" s="9"/>
      <c r="X76" s="9"/>
      <c r="Y76" s="9"/>
      <c r="Z76" s="9"/>
      <c r="AA76" s="9"/>
    </row>
    <row r="77" spans="1:27">
      <c r="A77" s="9"/>
      <c r="B77" s="9"/>
      <c r="C77" s="5"/>
      <c r="D77" s="5"/>
      <c r="E77" s="5"/>
      <c r="F77" s="9"/>
      <c r="G77" s="9"/>
      <c r="H77" s="9"/>
      <c r="I77" s="9"/>
      <c r="J77" s="9"/>
      <c r="K77" s="9"/>
      <c r="L77" s="9"/>
      <c r="M77" s="9"/>
      <c r="N77" s="9"/>
      <c r="O77" s="9"/>
      <c r="P77" s="9"/>
      <c r="Q77" s="9"/>
      <c r="R77" s="9"/>
      <c r="S77" s="9"/>
      <c r="T77" s="9"/>
      <c r="U77" s="9"/>
      <c r="V77" s="9"/>
      <c r="W77" s="9"/>
      <c r="X77" s="9"/>
      <c r="Y77" s="9"/>
      <c r="Z77" s="9"/>
      <c r="AA77" s="9"/>
    </row>
    <row r="78" spans="1:27">
      <c r="A78" s="9"/>
      <c r="B78" s="9"/>
      <c r="C78" s="5"/>
      <c r="D78" s="5"/>
      <c r="E78" s="5"/>
      <c r="F78" s="9"/>
      <c r="G78" s="9"/>
      <c r="H78" s="9"/>
      <c r="I78" s="9"/>
      <c r="J78" s="9"/>
      <c r="K78" s="9"/>
      <c r="L78" s="9"/>
      <c r="M78" s="9"/>
      <c r="N78" s="9"/>
      <c r="O78" s="9"/>
      <c r="P78" s="9"/>
      <c r="Q78" s="9"/>
      <c r="R78" s="9"/>
      <c r="S78" s="9"/>
      <c r="T78" s="9"/>
      <c r="U78" s="9"/>
      <c r="V78" s="9"/>
      <c r="W78" s="9"/>
      <c r="X78" s="9"/>
      <c r="Y78" s="9"/>
      <c r="Z78" s="9"/>
      <c r="AA78" s="9"/>
    </row>
    <row r="79" spans="1:27">
      <c r="A79" s="9"/>
      <c r="B79" s="9"/>
      <c r="C79" s="5"/>
      <c r="D79" s="5"/>
      <c r="E79" s="5"/>
      <c r="F79" s="9"/>
      <c r="G79" s="9"/>
      <c r="H79" s="9"/>
      <c r="I79" s="9"/>
      <c r="J79" s="9"/>
      <c r="K79" s="9"/>
      <c r="L79" s="9"/>
      <c r="M79" s="9"/>
      <c r="N79" s="9"/>
      <c r="O79" s="9"/>
      <c r="P79" s="9"/>
      <c r="Q79" s="9"/>
      <c r="R79" s="9"/>
      <c r="S79" s="9"/>
      <c r="T79" s="9"/>
      <c r="U79" s="9"/>
      <c r="V79" s="9"/>
      <c r="W79" s="9"/>
      <c r="X79" s="9"/>
      <c r="Y79" s="9"/>
      <c r="Z79" s="9"/>
      <c r="AA79" s="9"/>
    </row>
    <row r="80" spans="1:27">
      <c r="A80" s="9"/>
      <c r="B80" s="9"/>
      <c r="C80" s="5"/>
      <c r="D80" s="5"/>
      <c r="E80" s="5"/>
      <c r="F80" s="9"/>
      <c r="G80" s="9"/>
      <c r="H80" s="9"/>
      <c r="I80" s="9"/>
      <c r="J80" s="9"/>
      <c r="K80" s="9"/>
      <c r="L80" s="9"/>
      <c r="M80" s="9"/>
      <c r="N80" s="9"/>
      <c r="O80" s="9"/>
      <c r="P80" s="9"/>
      <c r="Q80" s="9"/>
      <c r="R80" s="9"/>
      <c r="S80" s="9"/>
      <c r="T80" s="9"/>
      <c r="U80" s="9"/>
      <c r="V80" s="9"/>
      <c r="W80" s="9"/>
      <c r="X80" s="9"/>
      <c r="Y80" s="9"/>
      <c r="Z80" s="9"/>
      <c r="AA80" s="9"/>
    </row>
    <row r="81" spans="1:27">
      <c r="A81" s="9"/>
      <c r="B81" s="9"/>
      <c r="C81" s="5"/>
      <c r="D81" s="5"/>
      <c r="E81" s="5"/>
      <c r="F81" s="9"/>
      <c r="G81" s="9"/>
      <c r="H81" s="9"/>
      <c r="I81" s="9"/>
      <c r="J81" s="9"/>
      <c r="K81" s="9"/>
      <c r="L81" s="9"/>
      <c r="M81" s="9"/>
      <c r="N81" s="9"/>
      <c r="O81" s="9"/>
      <c r="P81" s="9"/>
      <c r="Q81" s="9"/>
      <c r="R81" s="9"/>
      <c r="S81" s="9"/>
      <c r="T81" s="9"/>
      <c r="U81" s="9"/>
      <c r="V81" s="9"/>
      <c r="W81" s="9"/>
      <c r="X81" s="9"/>
      <c r="Y81" s="9"/>
      <c r="Z81" s="9"/>
      <c r="AA81" s="9"/>
    </row>
    <row r="82" spans="1:27">
      <c r="A82" s="9"/>
      <c r="B82" s="9"/>
      <c r="C82" s="5"/>
      <c r="D82" s="5"/>
      <c r="E82" s="5"/>
      <c r="F82" s="9"/>
      <c r="G82" s="9"/>
      <c r="H82" s="9"/>
      <c r="I82" s="9"/>
      <c r="J82" s="9"/>
      <c r="K82" s="9"/>
      <c r="L82" s="9"/>
      <c r="M82" s="9"/>
      <c r="N82" s="9"/>
      <c r="O82" s="9"/>
      <c r="P82" s="9"/>
      <c r="Q82" s="9"/>
      <c r="R82" s="9"/>
      <c r="S82" s="9"/>
      <c r="T82" s="9"/>
      <c r="U82" s="9"/>
      <c r="V82" s="9"/>
      <c r="W82" s="9"/>
      <c r="X82" s="9"/>
      <c r="Y82" s="9"/>
      <c r="Z82" s="9"/>
      <c r="AA82" s="9"/>
    </row>
    <row r="83" spans="1:27">
      <c r="A83" s="9"/>
      <c r="B83" s="9"/>
      <c r="C83" s="5"/>
      <c r="D83" s="5"/>
      <c r="E83" s="5"/>
      <c r="F83" s="9"/>
      <c r="G83" s="9"/>
      <c r="H83" s="9"/>
      <c r="I83" s="9"/>
      <c r="J83" s="9"/>
      <c r="K83" s="9"/>
      <c r="L83" s="9"/>
      <c r="M83" s="9"/>
      <c r="N83" s="9"/>
      <c r="O83" s="9"/>
      <c r="P83" s="9"/>
      <c r="Q83" s="9"/>
      <c r="R83" s="9"/>
      <c r="S83" s="9"/>
      <c r="T83" s="9"/>
      <c r="U83" s="9"/>
      <c r="V83" s="9"/>
      <c r="W83" s="9"/>
      <c r="X83" s="9"/>
      <c r="Y83" s="9"/>
      <c r="Z83" s="9"/>
      <c r="AA83" s="9"/>
    </row>
    <row r="84" spans="1:27">
      <c r="A84" s="9"/>
      <c r="B84" s="9"/>
      <c r="C84" s="5"/>
      <c r="D84" s="5"/>
      <c r="E84" s="5"/>
      <c r="F84" s="9"/>
      <c r="G84" s="9"/>
      <c r="H84" s="9"/>
      <c r="I84" s="9"/>
      <c r="J84" s="9"/>
      <c r="K84" s="9"/>
      <c r="L84" s="9"/>
      <c r="M84" s="9"/>
      <c r="N84" s="9"/>
      <c r="O84" s="9"/>
      <c r="P84" s="9"/>
      <c r="Q84" s="9"/>
      <c r="R84" s="9"/>
      <c r="S84" s="9"/>
      <c r="T84" s="9"/>
      <c r="U84" s="9"/>
      <c r="V84" s="9"/>
      <c r="W84" s="9"/>
      <c r="X84" s="9"/>
      <c r="Y84" s="9"/>
      <c r="Z84" s="9"/>
      <c r="AA84" s="9"/>
    </row>
    <row r="85" spans="1:27">
      <c r="A85" s="9"/>
      <c r="B85" s="9"/>
      <c r="C85" s="5"/>
      <c r="D85" s="5"/>
      <c r="E85" s="5"/>
      <c r="F85" s="9"/>
      <c r="G85" s="9"/>
      <c r="H85" s="9"/>
      <c r="I85" s="9"/>
      <c r="J85" s="9"/>
      <c r="K85" s="9"/>
      <c r="L85" s="9"/>
      <c r="M85" s="9"/>
      <c r="N85" s="9"/>
      <c r="O85" s="9"/>
      <c r="P85" s="9"/>
      <c r="Q85" s="9"/>
      <c r="R85" s="9"/>
      <c r="S85" s="9"/>
      <c r="T85" s="9"/>
      <c r="U85" s="9"/>
      <c r="V85" s="9"/>
      <c r="W85" s="9"/>
      <c r="X85" s="9"/>
      <c r="Y85" s="9"/>
      <c r="Z85" s="9"/>
      <c r="AA85" s="9"/>
    </row>
    <row r="86" spans="1:27">
      <c r="A86" s="9"/>
      <c r="B86" s="9"/>
      <c r="C86" s="5"/>
      <c r="D86" s="5"/>
      <c r="E86" s="5"/>
      <c r="F86" s="9"/>
      <c r="G86" s="9"/>
      <c r="H86" s="9"/>
      <c r="I86" s="9"/>
      <c r="J86" s="9"/>
      <c r="K86" s="9"/>
      <c r="L86" s="9"/>
      <c r="M86" s="9"/>
      <c r="N86" s="9"/>
      <c r="O86" s="9"/>
      <c r="P86" s="9"/>
      <c r="Q86" s="9"/>
      <c r="R86" s="9"/>
      <c r="S86" s="9"/>
      <c r="T86" s="9"/>
      <c r="U86" s="9"/>
      <c r="V86" s="9"/>
      <c r="W86" s="9"/>
      <c r="X86" s="9"/>
      <c r="Y86" s="9"/>
      <c r="Z86" s="9"/>
      <c r="AA86" s="9"/>
    </row>
    <row r="87" spans="1:27">
      <c r="A87" s="9"/>
      <c r="B87" s="9"/>
      <c r="C87" s="5"/>
      <c r="D87" s="5"/>
      <c r="E87" s="5"/>
      <c r="F87" s="9"/>
      <c r="G87" s="9"/>
      <c r="H87" s="9"/>
      <c r="I87" s="9"/>
      <c r="J87" s="9"/>
      <c r="K87" s="9"/>
      <c r="L87" s="9"/>
      <c r="M87" s="9"/>
      <c r="N87" s="9"/>
      <c r="O87" s="9"/>
      <c r="P87" s="9"/>
      <c r="Q87" s="9"/>
      <c r="R87" s="9"/>
      <c r="S87" s="9"/>
      <c r="T87" s="9"/>
      <c r="U87" s="9"/>
      <c r="V87" s="9"/>
      <c r="W87" s="9"/>
      <c r="X87" s="9"/>
      <c r="Y87" s="9"/>
      <c r="Z87" s="9"/>
      <c r="AA87" s="9"/>
    </row>
    <row r="88" spans="1:27">
      <c r="A88" s="9"/>
      <c r="B88" s="9"/>
      <c r="C88" s="5"/>
      <c r="D88" s="5"/>
      <c r="E88" s="5"/>
      <c r="F88" s="9"/>
      <c r="G88" s="9"/>
      <c r="H88" s="9"/>
      <c r="I88" s="9"/>
      <c r="J88" s="9"/>
      <c r="K88" s="9"/>
      <c r="L88" s="9"/>
      <c r="M88" s="9"/>
      <c r="N88" s="9"/>
      <c r="O88" s="9"/>
      <c r="P88" s="9"/>
      <c r="Q88" s="9"/>
      <c r="R88" s="9"/>
      <c r="S88" s="9"/>
      <c r="T88" s="9"/>
      <c r="U88" s="9"/>
      <c r="V88" s="9"/>
      <c r="W88" s="9"/>
      <c r="X88" s="9"/>
      <c r="Y88" s="9"/>
      <c r="Z88" s="9"/>
      <c r="AA88" s="9"/>
    </row>
    <row r="89" spans="1:27">
      <c r="A89" s="9"/>
      <c r="B89" s="9"/>
      <c r="C89" s="5"/>
      <c r="D89" s="5"/>
      <c r="E89" s="5"/>
      <c r="F89" s="9"/>
      <c r="G89" s="9"/>
      <c r="H89" s="9"/>
      <c r="I89" s="9"/>
      <c r="J89" s="9"/>
      <c r="K89" s="9"/>
      <c r="L89" s="9"/>
      <c r="M89" s="9"/>
      <c r="N89" s="9"/>
      <c r="O89" s="9"/>
      <c r="P89" s="9"/>
      <c r="Q89" s="9"/>
      <c r="R89" s="9"/>
      <c r="S89" s="9"/>
      <c r="T89" s="9"/>
      <c r="U89" s="9"/>
      <c r="V89" s="9"/>
      <c r="W89" s="9"/>
      <c r="X89" s="9"/>
      <c r="Y89" s="9"/>
      <c r="Z89" s="9"/>
      <c r="AA89" s="9"/>
    </row>
    <row r="90" spans="1:27">
      <c r="A90" s="9"/>
      <c r="B90" s="9"/>
      <c r="C90" s="5"/>
      <c r="D90" s="5"/>
      <c r="E90" s="5"/>
      <c r="F90" s="9"/>
      <c r="G90" s="9"/>
      <c r="H90" s="9"/>
      <c r="I90" s="9"/>
      <c r="J90" s="9"/>
      <c r="K90" s="9"/>
      <c r="L90" s="9"/>
      <c r="M90" s="9"/>
      <c r="N90" s="9"/>
      <c r="O90" s="9"/>
      <c r="P90" s="9"/>
      <c r="Q90" s="9"/>
      <c r="R90" s="9"/>
      <c r="S90" s="9"/>
      <c r="T90" s="9"/>
      <c r="U90" s="9"/>
      <c r="V90" s="9"/>
      <c r="W90" s="9"/>
      <c r="X90" s="9"/>
      <c r="Y90" s="9"/>
      <c r="Z90" s="9"/>
      <c r="AA90" s="9"/>
    </row>
    <row r="91" spans="1:27">
      <c r="A91" s="9"/>
      <c r="B91" s="9"/>
      <c r="C91" s="5"/>
      <c r="D91" s="5"/>
      <c r="E91" s="5"/>
      <c r="F91" s="9"/>
      <c r="G91" s="9"/>
      <c r="H91" s="9"/>
      <c r="I91" s="9"/>
      <c r="J91" s="9"/>
      <c r="K91" s="9"/>
      <c r="L91" s="9"/>
      <c r="M91" s="9"/>
      <c r="N91" s="9"/>
      <c r="O91" s="9"/>
      <c r="P91" s="9"/>
      <c r="Q91" s="9"/>
      <c r="R91" s="9"/>
      <c r="S91" s="9"/>
      <c r="T91" s="9"/>
      <c r="U91" s="9"/>
      <c r="V91" s="9"/>
      <c r="W91" s="9"/>
      <c r="X91" s="9"/>
      <c r="Y91" s="9"/>
      <c r="Z91" s="9"/>
      <c r="AA91" s="9"/>
    </row>
    <row r="92" spans="1:27">
      <c r="A92" s="9"/>
      <c r="B92" s="9"/>
      <c r="C92" s="5"/>
      <c r="D92" s="5"/>
      <c r="E92" s="5"/>
      <c r="F92" s="9"/>
      <c r="G92" s="9"/>
      <c r="H92" s="9"/>
      <c r="I92" s="9"/>
      <c r="J92" s="9"/>
      <c r="K92" s="9"/>
      <c r="L92" s="9"/>
      <c r="M92" s="9"/>
      <c r="N92" s="9"/>
      <c r="O92" s="9"/>
      <c r="P92" s="9"/>
      <c r="Q92" s="9"/>
      <c r="R92" s="9"/>
      <c r="S92" s="9"/>
      <c r="T92" s="9"/>
      <c r="U92" s="9"/>
      <c r="V92" s="9"/>
      <c r="W92" s="9"/>
      <c r="X92" s="9"/>
      <c r="Y92" s="9"/>
      <c r="Z92" s="9"/>
      <c r="AA92" s="9"/>
    </row>
    <row r="93" spans="1:27">
      <c r="A93" s="9"/>
      <c r="B93" s="9"/>
      <c r="C93" s="5"/>
      <c r="D93" s="5"/>
      <c r="E93" s="5"/>
      <c r="F93" s="9"/>
      <c r="G93" s="9"/>
      <c r="H93" s="9"/>
      <c r="I93" s="9"/>
      <c r="J93" s="9"/>
      <c r="K93" s="9"/>
      <c r="L93" s="9"/>
      <c r="M93" s="9"/>
      <c r="N93" s="9"/>
      <c r="O93" s="9"/>
      <c r="P93" s="9"/>
      <c r="Q93" s="9"/>
      <c r="R93" s="9"/>
      <c r="S93" s="9"/>
      <c r="T93" s="9"/>
      <c r="U93" s="9"/>
      <c r="V93" s="9"/>
      <c r="W93" s="9"/>
      <c r="X93" s="9"/>
      <c r="Y93" s="9"/>
      <c r="Z93" s="9"/>
      <c r="AA93" s="9"/>
    </row>
    <row r="94" spans="1:27">
      <c r="A94" s="9"/>
      <c r="B94" s="9"/>
      <c r="C94" s="5"/>
      <c r="D94" s="5"/>
      <c r="E94" s="5"/>
      <c r="F94" s="9"/>
      <c r="G94" s="9"/>
      <c r="H94" s="9"/>
      <c r="I94" s="9"/>
      <c r="J94" s="9"/>
      <c r="K94" s="9"/>
      <c r="L94" s="9"/>
      <c r="M94" s="9"/>
      <c r="N94" s="9"/>
      <c r="O94" s="9"/>
      <c r="P94" s="9"/>
      <c r="Q94" s="9"/>
      <c r="R94" s="9"/>
      <c r="S94" s="9"/>
      <c r="T94" s="9"/>
      <c r="U94" s="9"/>
      <c r="V94" s="9"/>
      <c r="W94" s="9"/>
      <c r="X94" s="9"/>
      <c r="Y94" s="9"/>
      <c r="Z94" s="9"/>
      <c r="AA94" s="9"/>
    </row>
    <row r="95" spans="1:27">
      <c r="A95" s="9"/>
      <c r="B95" s="9"/>
      <c r="C95" s="5"/>
      <c r="D95" s="5"/>
      <c r="E95" s="5"/>
      <c r="F95" s="9"/>
      <c r="G95" s="9"/>
      <c r="H95" s="9"/>
      <c r="I95" s="9"/>
      <c r="J95" s="9"/>
      <c r="K95" s="9"/>
      <c r="L95" s="9"/>
      <c r="M95" s="9"/>
      <c r="N95" s="9"/>
      <c r="O95" s="9"/>
      <c r="P95" s="9"/>
      <c r="Q95" s="9"/>
      <c r="R95" s="9"/>
      <c r="S95" s="9"/>
      <c r="T95" s="9"/>
      <c r="U95" s="9"/>
      <c r="V95" s="9"/>
      <c r="W95" s="9"/>
      <c r="X95" s="9"/>
      <c r="Y95" s="9"/>
      <c r="Z95" s="9"/>
      <c r="AA95" s="9"/>
    </row>
    <row r="96" spans="1:27">
      <c r="A96" s="9"/>
      <c r="B96" s="9"/>
      <c r="C96" s="5"/>
      <c r="D96" s="5"/>
      <c r="E96" s="5"/>
      <c r="F96" s="9"/>
      <c r="G96" s="9"/>
      <c r="H96" s="9"/>
      <c r="I96" s="9"/>
      <c r="J96" s="9"/>
      <c r="K96" s="9"/>
      <c r="L96" s="9"/>
      <c r="M96" s="9"/>
      <c r="N96" s="9"/>
      <c r="O96" s="9"/>
      <c r="P96" s="9"/>
      <c r="Q96" s="9"/>
      <c r="R96" s="9"/>
      <c r="S96" s="9"/>
      <c r="T96" s="9"/>
      <c r="U96" s="9"/>
      <c r="V96" s="9"/>
      <c r="W96" s="9"/>
      <c r="X96" s="9"/>
      <c r="Y96" s="9"/>
      <c r="Z96" s="9"/>
      <c r="AA96" s="9"/>
    </row>
    <row r="97" spans="1:27">
      <c r="A97" s="9"/>
      <c r="B97" s="9"/>
      <c r="C97" s="5"/>
      <c r="D97" s="5"/>
      <c r="E97" s="5"/>
      <c r="F97" s="9"/>
      <c r="G97" s="9"/>
      <c r="H97" s="9"/>
      <c r="I97" s="9"/>
      <c r="J97" s="9"/>
      <c r="K97" s="9"/>
      <c r="L97" s="9"/>
      <c r="M97" s="9"/>
      <c r="N97" s="9"/>
      <c r="O97" s="9"/>
      <c r="P97" s="9"/>
      <c r="Q97" s="9"/>
      <c r="R97" s="9"/>
      <c r="S97" s="9"/>
      <c r="T97" s="9"/>
      <c r="U97" s="9"/>
      <c r="V97" s="9"/>
      <c r="W97" s="9"/>
      <c r="X97" s="9"/>
      <c r="Y97" s="9"/>
      <c r="Z97" s="9"/>
      <c r="AA97" s="9"/>
    </row>
    <row r="98" spans="1:27">
      <c r="A98" s="9"/>
      <c r="B98" s="9"/>
      <c r="C98" s="5"/>
      <c r="D98" s="5"/>
      <c r="E98" s="5"/>
      <c r="F98" s="9"/>
      <c r="G98" s="9"/>
      <c r="H98" s="9"/>
      <c r="I98" s="9"/>
      <c r="J98" s="9"/>
      <c r="K98" s="9"/>
      <c r="L98" s="9"/>
      <c r="M98" s="9"/>
      <c r="N98" s="9"/>
      <c r="O98" s="9"/>
      <c r="P98" s="9"/>
      <c r="Q98" s="9"/>
      <c r="R98" s="9"/>
      <c r="S98" s="9"/>
      <c r="T98" s="9"/>
      <c r="U98" s="9"/>
      <c r="V98" s="9"/>
      <c r="W98" s="9"/>
      <c r="X98" s="9"/>
      <c r="Y98" s="9"/>
      <c r="Z98" s="9"/>
      <c r="AA98" s="9"/>
    </row>
    <row r="99" spans="1:27">
      <c r="A99" s="9"/>
      <c r="B99" s="9"/>
      <c r="C99" s="5"/>
      <c r="D99" s="5"/>
      <c r="E99" s="5"/>
      <c r="F99" s="9"/>
      <c r="G99" s="9"/>
      <c r="H99" s="9"/>
      <c r="I99" s="9"/>
      <c r="J99" s="9"/>
      <c r="K99" s="9"/>
      <c r="L99" s="9"/>
      <c r="M99" s="9"/>
      <c r="N99" s="9"/>
      <c r="O99" s="9"/>
      <c r="P99" s="9"/>
      <c r="Q99" s="9"/>
      <c r="R99" s="9"/>
      <c r="S99" s="9"/>
      <c r="T99" s="9"/>
      <c r="U99" s="9"/>
      <c r="V99" s="9"/>
      <c r="W99" s="9"/>
      <c r="X99" s="9"/>
      <c r="Y99" s="9"/>
      <c r="Z99" s="9"/>
      <c r="AA99" s="9"/>
    </row>
    <row r="100" spans="1:27">
      <c r="A100" s="9"/>
      <c r="B100" s="9"/>
      <c r="C100" s="5"/>
      <c r="D100" s="5"/>
      <c r="E100" s="5"/>
      <c r="F100" s="9"/>
      <c r="G100" s="9"/>
      <c r="H100" s="9"/>
      <c r="I100" s="9"/>
      <c r="J100" s="9"/>
      <c r="K100" s="9"/>
      <c r="L100" s="9"/>
      <c r="M100" s="9"/>
      <c r="N100" s="9"/>
      <c r="O100" s="9"/>
      <c r="P100" s="9"/>
      <c r="Q100" s="9"/>
      <c r="R100" s="9"/>
      <c r="S100" s="9"/>
      <c r="T100" s="9"/>
      <c r="U100" s="9"/>
      <c r="V100" s="9"/>
      <c r="W100" s="9"/>
      <c r="X100" s="9"/>
      <c r="Y100" s="9"/>
      <c r="Z100" s="9"/>
      <c r="AA100" s="9"/>
    </row>
    <row r="101" spans="1:27">
      <c r="A101" s="9"/>
      <c r="B101" s="9"/>
      <c r="C101" s="5"/>
      <c r="D101" s="5"/>
      <c r="E101" s="5"/>
      <c r="F101" s="9"/>
      <c r="G101" s="9"/>
      <c r="H101" s="9"/>
      <c r="I101" s="9"/>
      <c r="J101" s="9"/>
      <c r="K101" s="9"/>
      <c r="L101" s="9"/>
      <c r="M101" s="9"/>
      <c r="N101" s="9"/>
      <c r="O101" s="9"/>
      <c r="P101" s="9"/>
      <c r="Q101" s="9"/>
      <c r="R101" s="9"/>
      <c r="S101" s="9"/>
      <c r="T101" s="9"/>
      <c r="U101" s="9"/>
      <c r="V101" s="9"/>
      <c r="W101" s="9"/>
      <c r="X101" s="9"/>
      <c r="Y101" s="9"/>
      <c r="Z101" s="9"/>
      <c r="AA101" s="9"/>
    </row>
    <row r="102" spans="1:27">
      <c r="A102" s="9"/>
      <c r="B102" s="9"/>
      <c r="C102" s="5"/>
      <c r="D102" s="5"/>
      <c r="E102" s="5"/>
      <c r="F102" s="9"/>
      <c r="G102" s="9"/>
      <c r="H102" s="9"/>
      <c r="I102" s="9"/>
      <c r="J102" s="9"/>
      <c r="K102" s="9"/>
      <c r="L102" s="9"/>
      <c r="M102" s="9"/>
      <c r="N102" s="9"/>
      <c r="O102" s="9"/>
      <c r="P102" s="9"/>
      <c r="Q102" s="9"/>
      <c r="R102" s="9"/>
      <c r="S102" s="9"/>
      <c r="T102" s="9"/>
      <c r="U102" s="9"/>
      <c r="V102" s="9"/>
      <c r="W102" s="9"/>
      <c r="X102" s="9"/>
      <c r="Y102" s="9"/>
      <c r="Z102" s="9"/>
      <c r="AA102" s="9"/>
    </row>
    <row r="103" spans="1:27">
      <c r="A103" s="9"/>
      <c r="B103" s="9"/>
      <c r="C103" s="5"/>
      <c r="D103" s="5"/>
      <c r="E103" s="5"/>
      <c r="F103" s="9"/>
      <c r="G103" s="9"/>
      <c r="H103" s="9"/>
      <c r="I103" s="9"/>
      <c r="J103" s="9"/>
      <c r="K103" s="9"/>
      <c r="L103" s="9"/>
      <c r="M103" s="9"/>
      <c r="N103" s="9"/>
      <c r="O103" s="9"/>
      <c r="P103" s="9"/>
      <c r="Q103" s="9"/>
      <c r="R103" s="9"/>
      <c r="S103" s="9"/>
      <c r="T103" s="9"/>
      <c r="U103" s="9"/>
      <c r="V103" s="9"/>
      <c r="W103" s="9"/>
      <c r="X103" s="9"/>
      <c r="Y103" s="9"/>
      <c r="Z103" s="9"/>
      <c r="AA103" s="9"/>
    </row>
    <row r="104" spans="1:27">
      <c r="A104" s="9"/>
      <c r="B104" s="9"/>
      <c r="C104" s="5"/>
      <c r="D104" s="5"/>
      <c r="E104" s="5"/>
      <c r="F104" s="9"/>
      <c r="G104" s="9"/>
      <c r="H104" s="9"/>
      <c r="I104" s="9"/>
      <c r="J104" s="9"/>
      <c r="K104" s="9"/>
      <c r="L104" s="9"/>
      <c r="M104" s="9"/>
      <c r="N104" s="9"/>
      <c r="O104" s="9"/>
      <c r="P104" s="9"/>
      <c r="Q104" s="9"/>
      <c r="R104" s="9"/>
      <c r="S104" s="9"/>
      <c r="T104" s="9"/>
      <c r="U104" s="9"/>
      <c r="V104" s="9"/>
      <c r="W104" s="9"/>
      <c r="X104" s="9"/>
      <c r="Y104" s="9"/>
      <c r="Z104" s="9"/>
      <c r="AA104" s="9"/>
    </row>
    <row r="105" spans="1:27">
      <c r="A105" s="9"/>
      <c r="B105" s="9"/>
      <c r="C105" s="5"/>
      <c r="D105" s="5"/>
      <c r="E105" s="5"/>
      <c r="F105" s="9"/>
      <c r="G105" s="9"/>
      <c r="H105" s="9"/>
      <c r="I105" s="9"/>
      <c r="J105" s="9"/>
      <c r="K105" s="9"/>
      <c r="L105" s="9"/>
      <c r="M105" s="9"/>
      <c r="N105" s="9"/>
      <c r="O105" s="9"/>
      <c r="P105" s="9"/>
      <c r="Q105" s="9"/>
      <c r="R105" s="9"/>
      <c r="S105" s="9"/>
      <c r="T105" s="9"/>
      <c r="U105" s="9"/>
      <c r="V105" s="9"/>
      <c r="W105" s="9"/>
      <c r="X105" s="9"/>
      <c r="Y105" s="9"/>
      <c r="Z105" s="9"/>
      <c r="AA105" s="9"/>
    </row>
    <row r="106" spans="1:27">
      <c r="A106" s="9"/>
      <c r="B106" s="9"/>
      <c r="C106" s="5"/>
      <c r="D106" s="5"/>
      <c r="E106" s="5"/>
      <c r="F106" s="9"/>
      <c r="G106" s="9"/>
      <c r="H106" s="9"/>
      <c r="I106" s="9"/>
      <c r="J106" s="9"/>
      <c r="K106" s="9"/>
      <c r="L106" s="9"/>
      <c r="M106" s="9"/>
      <c r="N106" s="9"/>
      <c r="O106" s="9"/>
      <c r="P106" s="9"/>
      <c r="Q106" s="9"/>
      <c r="R106" s="9"/>
      <c r="S106" s="9"/>
      <c r="T106" s="9"/>
      <c r="U106" s="9"/>
      <c r="V106" s="9"/>
      <c r="W106" s="9"/>
      <c r="X106" s="9"/>
      <c r="Y106" s="9"/>
      <c r="Z106" s="9"/>
      <c r="AA106" s="9"/>
    </row>
    <row r="107" spans="1:27">
      <c r="A107" s="9"/>
      <c r="B107" s="9"/>
      <c r="C107" s="5"/>
      <c r="D107" s="5"/>
      <c r="E107" s="5"/>
      <c r="F107" s="9"/>
      <c r="G107" s="9"/>
      <c r="H107" s="9"/>
      <c r="I107" s="9"/>
      <c r="J107" s="9"/>
      <c r="K107" s="9"/>
      <c r="L107" s="9"/>
      <c r="M107" s="9"/>
      <c r="N107" s="9"/>
      <c r="O107" s="9"/>
      <c r="P107" s="9"/>
      <c r="Q107" s="9"/>
      <c r="R107" s="9"/>
      <c r="S107" s="9"/>
      <c r="T107" s="9"/>
      <c r="U107" s="9"/>
      <c r="V107" s="9"/>
      <c r="W107" s="9"/>
      <c r="X107" s="9"/>
      <c r="Y107" s="9"/>
      <c r="Z107" s="9"/>
      <c r="AA107" s="9"/>
    </row>
    <row r="108" spans="1:27">
      <c r="A108" s="9"/>
      <c r="B108" s="9"/>
      <c r="C108" s="5"/>
      <c r="D108" s="5"/>
      <c r="E108" s="5"/>
      <c r="F108" s="9"/>
      <c r="G108" s="9"/>
      <c r="H108" s="9"/>
      <c r="I108" s="9"/>
      <c r="J108" s="9"/>
      <c r="K108" s="9"/>
      <c r="L108" s="9"/>
      <c r="M108" s="9"/>
      <c r="N108" s="9"/>
      <c r="O108" s="9"/>
      <c r="P108" s="9"/>
      <c r="Q108" s="9"/>
      <c r="R108" s="9"/>
      <c r="S108" s="9"/>
      <c r="T108" s="9"/>
      <c r="U108" s="9"/>
      <c r="V108" s="9"/>
      <c r="W108" s="9"/>
      <c r="X108" s="9"/>
      <c r="Y108" s="9"/>
      <c r="Z108" s="9"/>
      <c r="AA108" s="9"/>
    </row>
    <row r="109" spans="1:27">
      <c r="A109" s="9"/>
      <c r="B109" s="9"/>
      <c r="C109" s="5"/>
      <c r="D109" s="5"/>
      <c r="E109" s="5"/>
      <c r="F109" s="9"/>
      <c r="G109" s="9"/>
      <c r="H109" s="9"/>
      <c r="I109" s="9"/>
      <c r="J109" s="9"/>
      <c r="K109" s="9"/>
      <c r="L109" s="9"/>
      <c r="M109" s="9"/>
      <c r="N109" s="9"/>
      <c r="O109" s="9"/>
      <c r="P109" s="9"/>
      <c r="Q109" s="9"/>
      <c r="R109" s="9"/>
      <c r="S109" s="9"/>
      <c r="T109" s="9"/>
      <c r="U109" s="9"/>
      <c r="V109" s="9"/>
      <c r="W109" s="9"/>
      <c r="X109" s="9"/>
      <c r="Y109" s="9"/>
      <c r="Z109" s="9"/>
      <c r="AA109" s="9"/>
    </row>
    <row r="110" spans="1:27">
      <c r="A110" s="9"/>
      <c r="B110" s="9"/>
      <c r="C110" s="5"/>
      <c r="D110" s="5"/>
      <c r="E110" s="5"/>
      <c r="F110" s="9"/>
      <c r="G110" s="9"/>
      <c r="H110" s="9"/>
      <c r="I110" s="9"/>
      <c r="J110" s="9"/>
      <c r="K110" s="9"/>
      <c r="L110" s="9"/>
      <c r="M110" s="9"/>
      <c r="N110" s="9"/>
      <c r="O110" s="9"/>
      <c r="P110" s="9"/>
      <c r="Q110" s="9"/>
      <c r="R110" s="9"/>
      <c r="S110" s="9"/>
      <c r="T110" s="9"/>
      <c r="U110" s="9"/>
      <c r="V110" s="9"/>
      <c r="W110" s="9"/>
      <c r="X110" s="9"/>
      <c r="Y110" s="9"/>
      <c r="Z110" s="9"/>
      <c r="AA110" s="9"/>
    </row>
    <row r="111" spans="1:27">
      <c r="A111" s="9"/>
      <c r="B111" s="9"/>
      <c r="C111" s="5"/>
      <c r="D111" s="5"/>
      <c r="E111" s="5"/>
      <c r="F111" s="9"/>
      <c r="G111" s="9"/>
      <c r="H111" s="9"/>
      <c r="I111" s="9"/>
      <c r="J111" s="9"/>
      <c r="K111" s="9"/>
      <c r="L111" s="9"/>
      <c r="M111" s="9"/>
      <c r="N111" s="9"/>
      <c r="O111" s="9"/>
      <c r="P111" s="9"/>
      <c r="Q111" s="9"/>
      <c r="R111" s="9"/>
      <c r="S111" s="9"/>
      <c r="T111" s="9"/>
      <c r="U111" s="9"/>
      <c r="V111" s="9"/>
      <c r="W111" s="9"/>
      <c r="X111" s="9"/>
      <c r="Y111" s="9"/>
      <c r="Z111" s="9"/>
      <c r="AA111" s="9"/>
    </row>
    <row r="112" spans="1:27">
      <c r="A112" s="9"/>
      <c r="B112" s="9"/>
      <c r="C112" s="5"/>
      <c r="D112" s="5"/>
      <c r="E112" s="5"/>
      <c r="F112" s="9"/>
      <c r="G112" s="9"/>
      <c r="H112" s="9"/>
      <c r="I112" s="9"/>
      <c r="J112" s="9"/>
      <c r="K112" s="9"/>
      <c r="L112" s="9"/>
      <c r="M112" s="9"/>
      <c r="N112" s="9"/>
      <c r="O112" s="9"/>
      <c r="P112" s="9"/>
      <c r="Q112" s="9"/>
      <c r="R112" s="9"/>
      <c r="S112" s="9"/>
      <c r="T112" s="9"/>
      <c r="U112" s="9"/>
      <c r="V112" s="9"/>
      <c r="W112" s="9"/>
      <c r="X112" s="9"/>
      <c r="Y112" s="9"/>
      <c r="Z112" s="9"/>
      <c r="AA112" s="9"/>
    </row>
    <row r="113" spans="1:27">
      <c r="A113" s="9"/>
      <c r="B113" s="9"/>
      <c r="C113" s="5"/>
      <c r="D113" s="5"/>
      <c r="E113" s="5"/>
      <c r="F113" s="9"/>
      <c r="G113" s="9"/>
      <c r="H113" s="9"/>
      <c r="I113" s="9"/>
      <c r="J113" s="9"/>
      <c r="K113" s="9"/>
      <c r="L113" s="9"/>
      <c r="M113" s="9"/>
      <c r="N113" s="9"/>
      <c r="O113" s="9"/>
      <c r="P113" s="9"/>
      <c r="Q113" s="9"/>
      <c r="R113" s="9"/>
      <c r="S113" s="9"/>
      <c r="T113" s="9"/>
      <c r="U113" s="9"/>
      <c r="V113" s="9"/>
      <c r="W113" s="9"/>
      <c r="X113" s="9"/>
      <c r="Y113" s="9"/>
      <c r="Z113" s="9"/>
      <c r="AA113" s="9"/>
    </row>
    <row r="114" spans="1:27">
      <c r="A114" s="9"/>
      <c r="B114" s="9"/>
      <c r="C114" s="5"/>
      <c r="D114" s="5"/>
      <c r="E114" s="5"/>
      <c r="F114" s="9"/>
      <c r="G114" s="9"/>
      <c r="H114" s="9"/>
      <c r="I114" s="9"/>
      <c r="J114" s="9"/>
      <c r="K114" s="9"/>
      <c r="L114" s="9"/>
      <c r="M114" s="9"/>
      <c r="N114" s="9"/>
      <c r="O114" s="9"/>
      <c r="P114" s="9"/>
      <c r="Q114" s="9"/>
      <c r="R114" s="9"/>
      <c r="S114" s="9"/>
      <c r="T114" s="9"/>
      <c r="U114" s="9"/>
      <c r="V114" s="9"/>
      <c r="W114" s="9"/>
      <c r="X114" s="9"/>
      <c r="Y114" s="9"/>
      <c r="Z114" s="9"/>
      <c r="AA114" s="9"/>
    </row>
    <row r="115" spans="1:27">
      <c r="A115" s="9"/>
      <c r="B115" s="9"/>
      <c r="C115" s="5"/>
      <c r="D115" s="5"/>
      <c r="E115" s="5"/>
      <c r="F115" s="9"/>
      <c r="G115" s="9"/>
      <c r="H115" s="9"/>
      <c r="I115" s="9"/>
      <c r="J115" s="9"/>
      <c r="K115" s="9"/>
      <c r="L115" s="9"/>
      <c r="M115" s="9"/>
      <c r="N115" s="9"/>
      <c r="O115" s="9"/>
      <c r="P115" s="9"/>
      <c r="Q115" s="9"/>
      <c r="R115" s="9"/>
      <c r="S115" s="9"/>
      <c r="T115" s="9"/>
      <c r="U115" s="9"/>
      <c r="V115" s="9"/>
      <c r="W115" s="9"/>
      <c r="X115" s="9"/>
      <c r="Y115" s="9"/>
      <c r="Z115" s="9"/>
      <c r="AA115" s="9"/>
    </row>
    <row r="116" spans="1:27">
      <c r="A116" s="9"/>
      <c r="B116" s="9"/>
      <c r="C116" s="5"/>
      <c r="D116" s="5"/>
      <c r="E116" s="5"/>
      <c r="F116" s="9"/>
      <c r="G116" s="9"/>
      <c r="H116" s="9"/>
      <c r="I116" s="9"/>
      <c r="J116" s="9"/>
      <c r="K116" s="9"/>
      <c r="L116" s="9"/>
      <c r="M116" s="9"/>
      <c r="N116" s="9"/>
      <c r="O116" s="9"/>
      <c r="P116" s="9"/>
      <c r="Q116" s="9"/>
      <c r="R116" s="9"/>
      <c r="S116" s="9"/>
      <c r="T116" s="9"/>
      <c r="U116" s="9"/>
      <c r="V116" s="9"/>
      <c r="W116" s="9"/>
      <c r="X116" s="9"/>
      <c r="Y116" s="9"/>
      <c r="Z116" s="9"/>
      <c r="AA116" s="9"/>
    </row>
    <row r="117" spans="1:27">
      <c r="A117" s="9"/>
      <c r="B117" s="9"/>
      <c r="C117" s="5"/>
      <c r="D117" s="5"/>
      <c r="E117" s="5"/>
      <c r="F117" s="9"/>
      <c r="G117" s="9"/>
      <c r="H117" s="9"/>
      <c r="I117" s="9"/>
      <c r="J117" s="9"/>
      <c r="K117" s="9"/>
      <c r="L117" s="9"/>
      <c r="M117" s="9"/>
      <c r="N117" s="9"/>
      <c r="O117" s="9"/>
      <c r="P117" s="9"/>
      <c r="Q117" s="9"/>
      <c r="R117" s="9"/>
      <c r="S117" s="9"/>
      <c r="T117" s="9"/>
      <c r="U117" s="9"/>
      <c r="V117" s="9"/>
      <c r="W117" s="9"/>
      <c r="X117" s="9"/>
      <c r="Y117" s="9"/>
      <c r="Z117" s="9"/>
      <c r="AA117" s="9"/>
    </row>
    <row r="118" spans="1:27">
      <c r="A118" s="9"/>
      <c r="B118" s="9"/>
      <c r="C118" s="5"/>
      <c r="D118" s="5"/>
      <c r="E118" s="5"/>
      <c r="F118" s="9"/>
      <c r="G118" s="9"/>
      <c r="H118" s="9"/>
      <c r="I118" s="9"/>
      <c r="J118" s="9"/>
      <c r="K118" s="9"/>
      <c r="L118" s="9"/>
      <c r="M118" s="9"/>
      <c r="N118" s="9"/>
      <c r="O118" s="9"/>
      <c r="P118" s="9"/>
      <c r="Q118" s="9"/>
      <c r="R118" s="9"/>
      <c r="S118" s="9"/>
      <c r="T118" s="9"/>
      <c r="U118" s="9"/>
      <c r="V118" s="9"/>
      <c r="W118" s="9"/>
      <c r="X118" s="9"/>
      <c r="Y118" s="9"/>
      <c r="Z118" s="9"/>
      <c r="AA118" s="9"/>
    </row>
    <row r="119" spans="1:27">
      <c r="A119" s="9"/>
      <c r="B119" s="9"/>
      <c r="C119" s="5"/>
      <c r="D119" s="5"/>
      <c r="E119" s="5"/>
      <c r="F119" s="9"/>
      <c r="G119" s="9"/>
      <c r="H119" s="9"/>
      <c r="I119" s="9"/>
      <c r="J119" s="9"/>
      <c r="K119" s="9"/>
      <c r="L119" s="9"/>
      <c r="M119" s="9"/>
      <c r="N119" s="9"/>
      <c r="O119" s="9"/>
      <c r="P119" s="9"/>
      <c r="Q119" s="9"/>
      <c r="R119" s="9"/>
      <c r="S119" s="9"/>
      <c r="T119" s="9"/>
      <c r="U119" s="9"/>
      <c r="V119" s="9"/>
      <c r="W119" s="9"/>
      <c r="X119" s="9"/>
      <c r="Y119" s="9"/>
      <c r="Z119" s="9"/>
      <c r="AA119" s="9"/>
    </row>
    <row r="120" spans="1:27">
      <c r="A120" s="9"/>
      <c r="B120" s="9"/>
      <c r="C120" s="5"/>
      <c r="D120" s="5"/>
      <c r="E120" s="5"/>
      <c r="F120" s="9"/>
      <c r="G120" s="9"/>
      <c r="H120" s="9"/>
      <c r="I120" s="9"/>
      <c r="J120" s="9"/>
      <c r="K120" s="9"/>
      <c r="L120" s="9"/>
      <c r="M120" s="9"/>
      <c r="N120" s="9"/>
      <c r="O120" s="9"/>
      <c r="P120" s="9"/>
      <c r="Q120" s="9"/>
      <c r="R120" s="9"/>
      <c r="S120" s="9"/>
      <c r="T120" s="9"/>
      <c r="U120" s="9"/>
      <c r="V120" s="9"/>
      <c r="W120" s="9"/>
      <c r="X120" s="9"/>
      <c r="Y120" s="9"/>
      <c r="Z120" s="9"/>
      <c r="AA120" s="9"/>
    </row>
    <row r="121" spans="1:27">
      <c r="A121" s="9"/>
      <c r="B121" s="9"/>
      <c r="C121" s="5"/>
      <c r="D121" s="5"/>
      <c r="E121" s="5"/>
      <c r="F121" s="9"/>
      <c r="G121" s="9"/>
      <c r="H121" s="9"/>
      <c r="I121" s="9"/>
      <c r="J121" s="9"/>
      <c r="K121" s="9"/>
      <c r="L121" s="9"/>
      <c r="M121" s="9"/>
      <c r="N121" s="9"/>
      <c r="O121" s="9"/>
      <c r="P121" s="9"/>
      <c r="Q121" s="9"/>
      <c r="R121" s="9"/>
      <c r="S121" s="9"/>
      <c r="T121" s="9"/>
      <c r="U121" s="9"/>
      <c r="V121" s="9"/>
      <c r="W121" s="9"/>
      <c r="X121" s="9"/>
      <c r="Y121" s="9"/>
      <c r="Z121" s="9"/>
      <c r="AA121" s="9"/>
    </row>
    <row r="122" spans="1:27">
      <c r="A122" s="9"/>
      <c r="B122" s="9"/>
      <c r="C122" s="5"/>
      <c r="D122" s="5"/>
      <c r="E122" s="5"/>
      <c r="F122" s="9"/>
      <c r="G122" s="9"/>
      <c r="H122" s="9"/>
      <c r="I122" s="9"/>
      <c r="J122" s="9"/>
      <c r="K122" s="9"/>
      <c r="L122" s="9"/>
      <c r="M122" s="9"/>
      <c r="N122" s="9"/>
      <c r="O122" s="9"/>
      <c r="P122" s="9"/>
      <c r="Q122" s="9"/>
      <c r="R122" s="9"/>
      <c r="S122" s="9"/>
      <c r="T122" s="9"/>
      <c r="U122" s="9"/>
      <c r="V122" s="9"/>
      <c r="W122" s="9"/>
      <c r="X122" s="9"/>
      <c r="Y122" s="9"/>
      <c r="Z122" s="9"/>
      <c r="AA122" s="9"/>
    </row>
    <row r="123" spans="1:27">
      <c r="A123" s="9"/>
      <c r="B123" s="9"/>
      <c r="C123" s="5"/>
      <c r="D123" s="5"/>
      <c r="E123" s="5"/>
      <c r="F123" s="9"/>
      <c r="G123" s="9"/>
      <c r="H123" s="9"/>
      <c r="I123" s="9"/>
      <c r="J123" s="9"/>
      <c r="K123" s="9"/>
      <c r="L123" s="9"/>
      <c r="M123" s="9"/>
      <c r="N123" s="9"/>
      <c r="O123" s="9"/>
      <c r="P123" s="9"/>
      <c r="Q123" s="9"/>
      <c r="R123" s="9"/>
      <c r="S123" s="9"/>
      <c r="T123" s="9"/>
      <c r="U123" s="9"/>
      <c r="V123" s="9"/>
      <c r="W123" s="9"/>
      <c r="X123" s="9"/>
      <c r="Y123" s="9"/>
      <c r="Z123" s="9"/>
      <c r="AA123" s="9"/>
    </row>
    <row r="124" spans="1:27">
      <c r="A124" s="9"/>
      <c r="B124" s="9"/>
      <c r="C124" s="5"/>
      <c r="D124" s="5"/>
      <c r="E124" s="5"/>
      <c r="F124" s="9"/>
      <c r="G124" s="9"/>
      <c r="H124" s="9"/>
      <c r="I124" s="9"/>
      <c r="J124" s="9"/>
      <c r="K124" s="9"/>
      <c r="L124" s="9"/>
      <c r="M124" s="9"/>
      <c r="N124" s="9"/>
      <c r="O124" s="9"/>
      <c r="P124" s="9"/>
      <c r="Q124" s="9"/>
      <c r="R124" s="9"/>
      <c r="S124" s="9"/>
      <c r="T124" s="9"/>
      <c r="U124" s="9"/>
      <c r="V124" s="9"/>
      <c r="W124" s="9"/>
      <c r="X124" s="9"/>
      <c r="Y124" s="9"/>
      <c r="Z124" s="9"/>
      <c r="AA124" s="9"/>
    </row>
    <row r="125" spans="1:27">
      <c r="A125" s="9"/>
      <c r="B125" s="9"/>
      <c r="C125" s="5"/>
      <c r="D125" s="5"/>
      <c r="E125" s="5"/>
      <c r="F125" s="9"/>
      <c r="G125" s="9"/>
      <c r="H125" s="9"/>
      <c r="I125" s="9"/>
      <c r="J125" s="9"/>
      <c r="K125" s="9"/>
      <c r="L125" s="9"/>
      <c r="M125" s="9"/>
      <c r="N125" s="9"/>
      <c r="O125" s="9"/>
      <c r="P125" s="9"/>
      <c r="Q125" s="9"/>
      <c r="R125" s="9"/>
      <c r="S125" s="9"/>
      <c r="T125" s="9"/>
      <c r="U125" s="9"/>
      <c r="V125" s="9"/>
      <c r="W125" s="9"/>
      <c r="X125" s="9"/>
      <c r="Y125" s="9"/>
      <c r="Z125" s="9"/>
      <c r="AA125" s="9"/>
    </row>
    <row r="126" spans="1:27">
      <c r="A126" s="9"/>
      <c r="B126" s="9"/>
      <c r="C126" s="5"/>
      <c r="D126" s="5"/>
      <c r="E126" s="5"/>
      <c r="F126" s="9"/>
      <c r="G126" s="9"/>
      <c r="H126" s="9"/>
      <c r="I126" s="9"/>
      <c r="J126" s="9"/>
      <c r="K126" s="9"/>
      <c r="L126" s="9"/>
      <c r="M126" s="9"/>
      <c r="N126" s="9"/>
      <c r="O126" s="9"/>
      <c r="P126" s="9"/>
      <c r="Q126" s="9"/>
      <c r="R126" s="9"/>
      <c r="S126" s="9"/>
      <c r="T126" s="9"/>
      <c r="U126" s="9"/>
      <c r="V126" s="9"/>
      <c r="W126" s="9"/>
      <c r="X126" s="9"/>
      <c r="Y126" s="9"/>
      <c r="Z126" s="9"/>
      <c r="AA126" s="9"/>
    </row>
    <row r="127" spans="1:27">
      <c r="A127" s="9"/>
      <c r="B127" s="9"/>
      <c r="C127" s="5"/>
      <c r="D127" s="5"/>
      <c r="E127" s="5"/>
      <c r="F127" s="9"/>
      <c r="G127" s="9"/>
      <c r="H127" s="9"/>
      <c r="I127" s="9"/>
      <c r="J127" s="9"/>
      <c r="K127" s="9"/>
      <c r="L127" s="9"/>
      <c r="M127" s="9"/>
      <c r="N127" s="9"/>
      <c r="O127" s="9"/>
      <c r="P127" s="9"/>
      <c r="Q127" s="9"/>
      <c r="R127" s="9"/>
      <c r="S127" s="9"/>
      <c r="T127" s="9"/>
      <c r="U127" s="9"/>
      <c r="V127" s="9"/>
      <c r="W127" s="9"/>
      <c r="X127" s="9"/>
      <c r="Y127" s="9"/>
      <c r="Z127" s="9"/>
      <c r="AA127" s="9"/>
    </row>
    <row r="128" spans="1:27">
      <c r="A128" s="9"/>
      <c r="B128" s="9"/>
      <c r="C128" s="5"/>
      <c r="D128" s="5"/>
      <c r="E128" s="5"/>
      <c r="F128" s="9"/>
      <c r="G128" s="9"/>
      <c r="H128" s="9"/>
      <c r="I128" s="9"/>
      <c r="J128" s="9"/>
      <c r="K128" s="9"/>
      <c r="L128" s="9"/>
      <c r="M128" s="9"/>
      <c r="N128" s="9"/>
      <c r="O128" s="9"/>
      <c r="P128" s="9"/>
      <c r="Q128" s="9"/>
      <c r="R128" s="9"/>
      <c r="S128" s="9"/>
      <c r="T128" s="9"/>
      <c r="U128" s="9"/>
      <c r="V128" s="9"/>
      <c r="W128" s="9"/>
      <c r="X128" s="9"/>
      <c r="Y128" s="9"/>
      <c r="Z128" s="9"/>
      <c r="AA128" s="9"/>
    </row>
    <row r="129" spans="1:27">
      <c r="A129" s="9"/>
      <c r="B129" s="9"/>
      <c r="C129" s="5"/>
      <c r="D129" s="5"/>
      <c r="E129" s="5"/>
      <c r="F129" s="9"/>
      <c r="G129" s="9"/>
      <c r="H129" s="9"/>
      <c r="I129" s="9"/>
      <c r="J129" s="9"/>
      <c r="K129" s="9"/>
      <c r="L129" s="9"/>
      <c r="M129" s="9"/>
      <c r="N129" s="9"/>
      <c r="O129" s="9"/>
      <c r="P129" s="9"/>
      <c r="Q129" s="9"/>
      <c r="R129" s="9"/>
      <c r="S129" s="9"/>
      <c r="T129" s="9"/>
      <c r="U129" s="9"/>
      <c r="V129" s="9"/>
      <c r="W129" s="9"/>
      <c r="X129" s="9"/>
      <c r="Y129" s="9"/>
      <c r="Z129" s="9"/>
      <c r="AA129" s="9"/>
    </row>
    <row r="130" spans="1:27">
      <c r="A130" s="9"/>
      <c r="B130" s="9"/>
      <c r="C130" s="5"/>
      <c r="D130" s="5"/>
      <c r="E130" s="5"/>
      <c r="F130" s="9"/>
      <c r="G130" s="9"/>
      <c r="H130" s="9"/>
      <c r="I130" s="9"/>
      <c r="J130" s="9"/>
      <c r="K130" s="9"/>
      <c r="L130" s="9"/>
      <c r="M130" s="9"/>
      <c r="N130" s="9"/>
      <c r="O130" s="9"/>
      <c r="P130" s="9"/>
      <c r="Q130" s="9"/>
      <c r="R130" s="9"/>
      <c r="S130" s="9"/>
      <c r="T130" s="9"/>
      <c r="U130" s="9"/>
      <c r="V130" s="9"/>
      <c r="W130" s="9"/>
      <c r="X130" s="9"/>
      <c r="Y130" s="9"/>
      <c r="Z130" s="9"/>
      <c r="AA130" s="9"/>
    </row>
    <row r="131" spans="1:27">
      <c r="A131" s="9"/>
      <c r="B131" s="9"/>
      <c r="C131" s="5"/>
      <c r="D131" s="5"/>
      <c r="E131" s="5"/>
      <c r="F131" s="9"/>
      <c r="G131" s="9"/>
      <c r="H131" s="9"/>
      <c r="I131" s="9"/>
      <c r="J131" s="9"/>
      <c r="K131" s="9"/>
      <c r="L131" s="9"/>
      <c r="M131" s="9"/>
      <c r="N131" s="9"/>
      <c r="O131" s="9"/>
      <c r="P131" s="9"/>
      <c r="Q131" s="9"/>
      <c r="R131" s="9"/>
      <c r="S131" s="9"/>
      <c r="T131" s="9"/>
      <c r="U131" s="9"/>
      <c r="V131" s="9"/>
      <c r="W131" s="9"/>
      <c r="X131" s="9"/>
      <c r="Y131" s="9"/>
      <c r="Z131" s="9"/>
      <c r="AA131" s="9"/>
    </row>
    <row r="132" spans="1:27">
      <c r="A132" s="9"/>
      <c r="B132" s="9"/>
      <c r="C132" s="5"/>
      <c r="D132" s="5"/>
      <c r="E132" s="5"/>
      <c r="F132" s="9"/>
      <c r="G132" s="9"/>
      <c r="H132" s="9"/>
      <c r="I132" s="9"/>
      <c r="J132" s="9"/>
      <c r="K132" s="9"/>
      <c r="L132" s="9"/>
      <c r="M132" s="9"/>
      <c r="N132" s="9"/>
      <c r="O132" s="9"/>
      <c r="P132" s="9"/>
      <c r="Q132" s="9"/>
      <c r="R132" s="9"/>
      <c r="S132" s="9"/>
      <c r="T132" s="9"/>
      <c r="U132" s="9"/>
      <c r="V132" s="9"/>
      <c r="W132" s="9"/>
      <c r="X132" s="9"/>
      <c r="Y132" s="9"/>
      <c r="Z132" s="9"/>
      <c r="AA132" s="9"/>
    </row>
    <row r="133" spans="1:27">
      <c r="A133" s="9"/>
      <c r="B133" s="9"/>
      <c r="C133" s="5"/>
      <c r="D133" s="5"/>
      <c r="E133" s="5"/>
      <c r="F133" s="9"/>
      <c r="G133" s="9"/>
      <c r="H133" s="9"/>
      <c r="I133" s="9"/>
      <c r="J133" s="9"/>
      <c r="K133" s="9"/>
      <c r="L133" s="9"/>
      <c r="M133" s="9"/>
      <c r="N133" s="9"/>
      <c r="O133" s="9"/>
      <c r="P133" s="9"/>
      <c r="Q133" s="9"/>
      <c r="R133" s="9"/>
      <c r="S133" s="9"/>
      <c r="T133" s="9"/>
      <c r="U133" s="9"/>
      <c r="V133" s="9"/>
      <c r="W133" s="9"/>
      <c r="X133" s="9"/>
      <c r="Y133" s="9"/>
      <c r="Z133" s="9"/>
      <c r="AA133" s="9"/>
    </row>
    <row r="134" spans="1:27">
      <c r="A134" s="9"/>
      <c r="B134" s="9"/>
      <c r="C134" s="5"/>
      <c r="D134" s="5"/>
      <c r="E134" s="5"/>
      <c r="F134" s="9"/>
      <c r="G134" s="9"/>
      <c r="H134" s="9"/>
      <c r="I134" s="9"/>
      <c r="J134" s="9"/>
      <c r="K134" s="9"/>
      <c r="L134" s="9"/>
      <c r="M134" s="9"/>
      <c r="N134" s="9"/>
      <c r="O134" s="9"/>
      <c r="P134" s="9"/>
      <c r="Q134" s="9"/>
      <c r="R134" s="9"/>
      <c r="S134" s="9"/>
      <c r="T134" s="9"/>
      <c r="U134" s="9"/>
      <c r="V134" s="9"/>
      <c r="W134" s="9"/>
      <c r="X134" s="9"/>
      <c r="Y134" s="9"/>
      <c r="Z134" s="9"/>
      <c r="AA134" s="9"/>
    </row>
    <row r="135" spans="1:27">
      <c r="A135" s="9"/>
      <c r="B135" s="9"/>
      <c r="C135" s="5"/>
      <c r="D135" s="5"/>
      <c r="E135" s="5"/>
      <c r="F135" s="9"/>
      <c r="G135" s="9"/>
      <c r="H135" s="9"/>
      <c r="I135" s="9"/>
      <c r="J135" s="9"/>
      <c r="K135" s="9"/>
      <c r="L135" s="9"/>
      <c r="M135" s="9"/>
      <c r="N135" s="9"/>
      <c r="O135" s="9"/>
      <c r="P135" s="9"/>
      <c r="Q135" s="9"/>
      <c r="R135" s="9"/>
      <c r="S135" s="9"/>
      <c r="T135" s="9"/>
      <c r="U135" s="9"/>
      <c r="V135" s="9"/>
      <c r="W135" s="9"/>
      <c r="X135" s="9"/>
      <c r="Y135" s="9"/>
      <c r="Z135" s="9"/>
      <c r="AA135" s="9"/>
    </row>
    <row r="136" spans="1:27">
      <c r="A136" s="9"/>
      <c r="B136" s="9"/>
      <c r="C136" s="5"/>
      <c r="D136" s="5"/>
      <c r="E136" s="5"/>
      <c r="F136" s="9"/>
      <c r="G136" s="9"/>
      <c r="H136" s="9"/>
      <c r="I136" s="9"/>
      <c r="J136" s="9"/>
      <c r="K136" s="9"/>
      <c r="L136" s="9"/>
      <c r="M136" s="9"/>
      <c r="N136" s="9"/>
      <c r="O136" s="9"/>
      <c r="P136" s="9"/>
      <c r="Q136" s="9"/>
      <c r="R136" s="9"/>
      <c r="S136" s="9"/>
      <c r="T136" s="9"/>
      <c r="U136" s="9"/>
      <c r="V136" s="9"/>
      <c r="W136" s="9"/>
      <c r="X136" s="9"/>
      <c r="Y136" s="9"/>
      <c r="Z136" s="9"/>
      <c r="AA136" s="9"/>
    </row>
    <row r="137" spans="1:27">
      <c r="A137" s="9"/>
      <c r="B137" s="9"/>
      <c r="C137" s="5"/>
      <c r="D137" s="5"/>
      <c r="E137" s="5"/>
      <c r="F137" s="9"/>
      <c r="G137" s="9"/>
      <c r="H137" s="9"/>
      <c r="I137" s="9"/>
      <c r="J137" s="9"/>
      <c r="K137" s="9"/>
      <c r="L137" s="9"/>
      <c r="M137" s="9"/>
      <c r="N137" s="9"/>
      <c r="O137" s="9"/>
      <c r="P137" s="9"/>
      <c r="Q137" s="9"/>
      <c r="R137" s="9"/>
      <c r="S137" s="9"/>
      <c r="T137" s="9"/>
      <c r="U137" s="9"/>
      <c r="V137" s="9"/>
      <c r="W137" s="9"/>
      <c r="X137" s="9"/>
      <c r="Y137" s="9"/>
      <c r="Z137" s="9"/>
      <c r="AA137" s="9"/>
    </row>
    <row r="138" spans="1:27">
      <c r="A138" s="9"/>
      <c r="B138" s="9"/>
      <c r="C138" s="5"/>
      <c r="D138" s="5"/>
      <c r="E138" s="5"/>
      <c r="F138" s="9"/>
      <c r="G138" s="9"/>
      <c r="H138" s="9"/>
      <c r="I138" s="9"/>
      <c r="J138" s="9"/>
      <c r="K138" s="9"/>
      <c r="L138" s="9"/>
      <c r="M138" s="9"/>
      <c r="N138" s="9"/>
      <c r="O138" s="9"/>
      <c r="P138" s="9"/>
      <c r="Q138" s="9"/>
      <c r="R138" s="9"/>
      <c r="S138" s="9"/>
      <c r="T138" s="9"/>
      <c r="U138" s="9"/>
      <c r="V138" s="9"/>
      <c r="W138" s="9"/>
      <c r="X138" s="9"/>
      <c r="Y138" s="9"/>
      <c r="Z138" s="9"/>
      <c r="AA138" s="9"/>
    </row>
    <row r="139" spans="1:27">
      <c r="A139" s="9"/>
      <c r="B139" s="9"/>
      <c r="C139" s="5"/>
      <c r="D139" s="5"/>
      <c r="E139" s="5"/>
      <c r="F139" s="9"/>
      <c r="G139" s="9"/>
      <c r="H139" s="9"/>
      <c r="I139" s="9"/>
      <c r="J139" s="9"/>
      <c r="K139" s="9"/>
      <c r="L139" s="9"/>
      <c r="M139" s="9"/>
      <c r="N139" s="9"/>
      <c r="O139" s="9"/>
      <c r="P139" s="9"/>
      <c r="Q139" s="9"/>
      <c r="R139" s="9"/>
      <c r="S139" s="9"/>
      <c r="T139" s="9"/>
      <c r="U139" s="9"/>
      <c r="V139" s="9"/>
      <c r="W139" s="9"/>
      <c r="X139" s="9"/>
      <c r="Y139" s="9"/>
      <c r="Z139" s="9"/>
      <c r="AA139" s="9"/>
    </row>
    <row r="140" spans="1:27">
      <c r="A140" s="9"/>
      <c r="B140" s="9"/>
      <c r="C140" s="5"/>
      <c r="D140" s="5"/>
      <c r="E140" s="5"/>
      <c r="F140" s="9"/>
      <c r="G140" s="9"/>
      <c r="H140" s="9"/>
      <c r="I140" s="9"/>
      <c r="J140" s="9"/>
      <c r="K140" s="9"/>
      <c r="L140" s="9"/>
      <c r="M140" s="9"/>
      <c r="N140" s="9"/>
      <c r="O140" s="9"/>
      <c r="P140" s="9"/>
      <c r="Q140" s="9"/>
      <c r="R140" s="9"/>
      <c r="S140" s="9"/>
      <c r="T140" s="9"/>
      <c r="U140" s="9"/>
      <c r="V140" s="9"/>
      <c r="W140" s="9"/>
      <c r="X140" s="9"/>
      <c r="Y140" s="9"/>
      <c r="Z140" s="9"/>
      <c r="AA140" s="9"/>
    </row>
    <row r="141" spans="1:27">
      <c r="A141" s="9"/>
      <c r="B141" s="9"/>
      <c r="C141" s="5"/>
      <c r="D141" s="5"/>
      <c r="E141" s="5"/>
      <c r="F141" s="9"/>
      <c r="G141" s="9"/>
      <c r="H141" s="9"/>
      <c r="I141" s="9"/>
      <c r="J141" s="9"/>
      <c r="K141" s="9"/>
      <c r="L141" s="9"/>
      <c r="M141" s="9"/>
      <c r="N141" s="9"/>
      <c r="O141" s="9"/>
      <c r="P141" s="9"/>
      <c r="Q141" s="9"/>
      <c r="R141" s="9"/>
      <c r="S141" s="9"/>
      <c r="T141" s="9"/>
      <c r="U141" s="9"/>
      <c r="V141" s="9"/>
      <c r="W141" s="9"/>
      <c r="X141" s="9"/>
      <c r="Y141" s="9"/>
      <c r="Z141" s="9"/>
      <c r="AA141" s="9"/>
    </row>
    <row r="142" spans="1:27">
      <c r="A142" s="9"/>
      <c r="B142" s="9"/>
      <c r="C142" s="5"/>
      <c r="D142" s="5"/>
      <c r="E142" s="5"/>
      <c r="F142" s="9"/>
      <c r="G142" s="9"/>
      <c r="H142" s="9"/>
      <c r="I142" s="9"/>
      <c r="J142" s="9"/>
      <c r="K142" s="9"/>
      <c r="L142" s="9"/>
      <c r="M142" s="9"/>
      <c r="N142" s="9"/>
      <c r="O142" s="9"/>
      <c r="P142" s="9"/>
      <c r="Q142" s="9"/>
      <c r="R142" s="9"/>
      <c r="S142" s="9"/>
      <c r="T142" s="9"/>
      <c r="U142" s="9"/>
      <c r="V142" s="9"/>
      <c r="W142" s="9"/>
      <c r="X142" s="9"/>
      <c r="Y142" s="9"/>
      <c r="Z142" s="9"/>
      <c r="AA142" s="9"/>
    </row>
    <row r="143" spans="1:27">
      <c r="A143" s="9"/>
      <c r="B143" s="9"/>
      <c r="C143" s="5"/>
      <c r="D143" s="5"/>
      <c r="E143" s="5"/>
      <c r="F143" s="9"/>
      <c r="G143" s="9"/>
      <c r="H143" s="9"/>
      <c r="I143" s="9"/>
      <c r="J143" s="9"/>
      <c r="K143" s="9"/>
      <c r="L143" s="9"/>
      <c r="M143" s="9"/>
      <c r="N143" s="9"/>
      <c r="O143" s="9"/>
      <c r="P143" s="9"/>
      <c r="Q143" s="9"/>
      <c r="R143" s="9"/>
      <c r="S143" s="9"/>
      <c r="T143" s="9"/>
      <c r="U143" s="9"/>
      <c r="V143" s="9"/>
      <c r="W143" s="9"/>
      <c r="X143" s="9"/>
      <c r="Y143" s="9"/>
      <c r="Z143" s="9"/>
      <c r="AA143" s="9"/>
    </row>
    <row r="144" spans="1:27">
      <c r="A144" s="9"/>
      <c r="B144" s="9"/>
      <c r="C144" s="5"/>
      <c r="D144" s="5"/>
      <c r="E144" s="5"/>
      <c r="F144" s="9"/>
      <c r="G144" s="9"/>
      <c r="H144" s="9"/>
      <c r="I144" s="9"/>
      <c r="J144" s="9"/>
      <c r="K144" s="9"/>
      <c r="L144" s="9"/>
      <c r="M144" s="9"/>
      <c r="N144" s="9"/>
      <c r="O144" s="9"/>
      <c r="P144" s="9"/>
      <c r="Q144" s="9"/>
      <c r="R144" s="9"/>
      <c r="S144" s="9"/>
      <c r="T144" s="9"/>
      <c r="U144" s="9"/>
      <c r="V144" s="9"/>
      <c r="W144" s="9"/>
      <c r="X144" s="9"/>
      <c r="Y144" s="9"/>
      <c r="Z144" s="9"/>
      <c r="AA144" s="9"/>
    </row>
    <row r="145" spans="1:27">
      <c r="A145" s="9"/>
      <c r="B145" s="9"/>
      <c r="C145" s="5"/>
      <c r="D145" s="5"/>
      <c r="E145" s="5"/>
      <c r="F145" s="9"/>
      <c r="G145" s="9"/>
      <c r="H145" s="9"/>
      <c r="I145" s="9"/>
      <c r="J145" s="9"/>
      <c r="K145" s="9"/>
      <c r="L145" s="9"/>
      <c r="M145" s="9"/>
      <c r="N145" s="9"/>
      <c r="O145" s="9"/>
      <c r="P145" s="9"/>
      <c r="Q145" s="9"/>
      <c r="R145" s="9"/>
      <c r="S145" s="9"/>
      <c r="T145" s="9"/>
      <c r="U145" s="9"/>
      <c r="V145" s="9"/>
      <c r="W145" s="9"/>
      <c r="X145" s="9"/>
      <c r="Y145" s="9"/>
      <c r="Z145" s="9"/>
      <c r="AA145" s="9"/>
    </row>
    <row r="146" spans="1:27">
      <c r="A146" s="9"/>
      <c r="B146" s="9"/>
      <c r="C146" s="5"/>
      <c r="D146" s="5"/>
      <c r="E146" s="5"/>
      <c r="F146" s="9"/>
      <c r="G146" s="9"/>
      <c r="H146" s="9"/>
      <c r="I146" s="9"/>
      <c r="J146" s="9"/>
      <c r="K146" s="9"/>
      <c r="L146" s="9"/>
      <c r="M146" s="9"/>
      <c r="N146" s="9"/>
      <c r="O146" s="9"/>
      <c r="P146" s="9"/>
      <c r="Q146" s="9"/>
      <c r="R146" s="9"/>
      <c r="S146" s="9"/>
      <c r="T146" s="9"/>
      <c r="U146" s="9"/>
      <c r="V146" s="9"/>
      <c r="W146" s="9"/>
      <c r="X146" s="9"/>
      <c r="Y146" s="9"/>
      <c r="Z146" s="9"/>
      <c r="AA146" s="9"/>
    </row>
    <row r="147" spans="1:27">
      <c r="A147" s="9"/>
      <c r="B147" s="9"/>
      <c r="C147" s="5"/>
      <c r="D147" s="5"/>
      <c r="E147" s="5"/>
      <c r="F147" s="9"/>
      <c r="G147" s="9"/>
      <c r="H147" s="9"/>
      <c r="I147" s="9"/>
      <c r="J147" s="9"/>
      <c r="K147" s="9"/>
      <c r="L147" s="9"/>
      <c r="M147" s="9"/>
      <c r="N147" s="9"/>
      <c r="O147" s="9"/>
      <c r="P147" s="9"/>
      <c r="Q147" s="9"/>
      <c r="R147" s="9"/>
      <c r="S147" s="9"/>
      <c r="T147" s="9"/>
      <c r="U147" s="9"/>
      <c r="V147" s="9"/>
      <c r="W147" s="9"/>
      <c r="X147" s="9"/>
      <c r="Y147" s="9"/>
      <c r="Z147" s="9"/>
      <c r="AA147" s="9"/>
    </row>
    <row r="148" spans="1:27">
      <c r="A148" s="9"/>
      <c r="B148" s="9"/>
      <c r="C148" s="5"/>
      <c r="D148" s="5"/>
      <c r="E148" s="5"/>
      <c r="F148" s="9"/>
      <c r="G148" s="9"/>
      <c r="H148" s="9"/>
      <c r="I148" s="9"/>
      <c r="J148" s="9"/>
      <c r="K148" s="9"/>
      <c r="L148" s="9"/>
      <c r="M148" s="9"/>
      <c r="N148" s="9"/>
      <c r="O148" s="9"/>
      <c r="P148" s="9"/>
      <c r="Q148" s="9"/>
      <c r="R148" s="9"/>
      <c r="S148" s="9"/>
      <c r="T148" s="9"/>
      <c r="U148" s="9"/>
      <c r="V148" s="9"/>
      <c r="W148" s="9"/>
      <c r="X148" s="9"/>
      <c r="Y148" s="9"/>
      <c r="Z148" s="9"/>
      <c r="AA148" s="9"/>
    </row>
    <row r="149" spans="1:27">
      <c r="A149" s="9"/>
      <c r="B149" s="9"/>
      <c r="C149" s="5"/>
      <c r="D149" s="5"/>
      <c r="E149" s="5"/>
      <c r="F149" s="9"/>
      <c r="G149" s="9"/>
      <c r="H149" s="9"/>
      <c r="I149" s="9"/>
      <c r="J149" s="9"/>
      <c r="K149" s="9"/>
      <c r="L149" s="9"/>
      <c r="M149" s="9"/>
      <c r="N149" s="9"/>
      <c r="O149" s="9"/>
      <c r="P149" s="9"/>
      <c r="Q149" s="9"/>
      <c r="R149" s="9"/>
      <c r="S149" s="9"/>
      <c r="T149" s="9"/>
      <c r="U149" s="9"/>
      <c r="V149" s="9"/>
      <c r="W149" s="9"/>
      <c r="X149" s="9"/>
      <c r="Y149" s="9"/>
      <c r="Z149" s="9"/>
      <c r="AA149" s="9"/>
    </row>
    <row r="150" spans="1:27">
      <c r="A150" s="9"/>
      <c r="B150" s="9"/>
      <c r="C150" s="5"/>
      <c r="D150" s="5"/>
      <c r="E150" s="5"/>
      <c r="F150" s="9"/>
      <c r="G150" s="9"/>
      <c r="H150" s="9"/>
      <c r="I150" s="9"/>
      <c r="J150" s="9"/>
      <c r="K150" s="9"/>
      <c r="L150" s="9"/>
      <c r="M150" s="9"/>
      <c r="N150" s="9"/>
      <c r="O150" s="9"/>
      <c r="P150" s="9"/>
      <c r="Q150" s="9"/>
      <c r="R150" s="9"/>
      <c r="S150" s="9"/>
      <c r="T150" s="9"/>
      <c r="U150" s="9"/>
      <c r="V150" s="9"/>
      <c r="W150" s="9"/>
      <c r="X150" s="9"/>
      <c r="Y150" s="9"/>
      <c r="Z150" s="9"/>
      <c r="AA150" s="9"/>
    </row>
    <row r="151" spans="1:27">
      <c r="A151" s="9"/>
      <c r="B151" s="9"/>
      <c r="C151" s="5"/>
      <c r="D151" s="5"/>
      <c r="E151" s="5"/>
      <c r="F151" s="9"/>
      <c r="G151" s="9"/>
      <c r="H151" s="9"/>
      <c r="I151" s="9"/>
      <c r="J151" s="9"/>
      <c r="K151" s="9"/>
      <c r="L151" s="9"/>
      <c r="M151" s="9"/>
      <c r="N151" s="9"/>
      <c r="O151" s="9"/>
      <c r="P151" s="9"/>
      <c r="Q151" s="9"/>
      <c r="R151" s="9"/>
      <c r="S151" s="9"/>
      <c r="T151" s="9"/>
      <c r="U151" s="9"/>
      <c r="V151" s="9"/>
      <c r="W151" s="9"/>
      <c r="X151" s="9"/>
      <c r="Y151" s="9"/>
      <c r="Z151" s="9"/>
      <c r="AA151" s="9"/>
    </row>
    <row r="152" spans="1:27">
      <c r="A152" s="9"/>
      <c r="B152" s="9"/>
      <c r="C152" s="5"/>
      <c r="D152" s="5"/>
      <c r="E152" s="5"/>
      <c r="F152" s="9"/>
      <c r="G152" s="9"/>
      <c r="H152" s="9"/>
      <c r="I152" s="9"/>
      <c r="J152" s="9"/>
      <c r="K152" s="9"/>
      <c r="L152" s="9"/>
      <c r="M152" s="9"/>
      <c r="N152" s="9"/>
      <c r="O152" s="9"/>
      <c r="P152" s="9"/>
      <c r="Q152" s="9"/>
      <c r="R152" s="9"/>
      <c r="S152" s="9"/>
      <c r="T152" s="9"/>
      <c r="U152" s="9"/>
      <c r="V152" s="9"/>
      <c r="W152" s="9"/>
      <c r="X152" s="9"/>
      <c r="Y152" s="9"/>
      <c r="Z152" s="9"/>
      <c r="AA152" s="9"/>
    </row>
    <row r="153" spans="1:27">
      <c r="A153" s="9"/>
      <c r="B153" s="9"/>
      <c r="C153" s="5"/>
      <c r="D153" s="5"/>
      <c r="E153" s="5"/>
      <c r="F153" s="9"/>
      <c r="G153" s="9"/>
      <c r="H153" s="9"/>
      <c r="I153" s="9"/>
      <c r="J153" s="9"/>
      <c r="K153" s="9"/>
      <c r="L153" s="9"/>
      <c r="M153" s="9"/>
      <c r="N153" s="9"/>
      <c r="O153" s="9"/>
      <c r="P153" s="9"/>
      <c r="Q153" s="9"/>
      <c r="R153" s="9"/>
      <c r="S153" s="9"/>
      <c r="T153" s="9"/>
      <c r="U153" s="9"/>
      <c r="V153" s="9"/>
      <c r="W153" s="9"/>
      <c r="X153" s="9"/>
      <c r="Y153" s="9"/>
      <c r="Z153" s="9"/>
      <c r="AA153" s="9"/>
    </row>
    <row r="154" spans="1:27">
      <c r="A154" s="9"/>
      <c r="B154" s="9"/>
      <c r="C154" s="5"/>
      <c r="D154" s="5"/>
      <c r="E154" s="5"/>
      <c r="F154" s="9"/>
      <c r="G154" s="9"/>
      <c r="H154" s="9"/>
      <c r="I154" s="9"/>
      <c r="J154" s="9"/>
      <c r="K154" s="9"/>
      <c r="L154" s="9"/>
      <c r="M154" s="9"/>
      <c r="N154" s="9"/>
      <c r="O154" s="9"/>
      <c r="P154" s="9"/>
      <c r="Q154" s="9"/>
      <c r="R154" s="9"/>
      <c r="S154" s="9"/>
      <c r="T154" s="9"/>
      <c r="U154" s="9"/>
      <c r="V154" s="9"/>
      <c r="W154" s="9"/>
      <c r="X154" s="9"/>
      <c r="Y154" s="9"/>
      <c r="Z154" s="9"/>
      <c r="AA154" s="9"/>
    </row>
    <row r="155" spans="1:27">
      <c r="A155" s="9"/>
      <c r="B155" s="9"/>
      <c r="C155" s="5"/>
      <c r="D155" s="5"/>
      <c r="E155" s="5"/>
      <c r="F155" s="9"/>
      <c r="G155" s="9"/>
      <c r="H155" s="9"/>
      <c r="I155" s="9"/>
      <c r="J155" s="9"/>
      <c r="K155" s="9"/>
      <c r="L155" s="9"/>
      <c r="M155" s="9"/>
      <c r="N155" s="9"/>
      <c r="O155" s="9"/>
      <c r="P155" s="9"/>
      <c r="Q155" s="9"/>
      <c r="R155" s="9"/>
      <c r="S155" s="9"/>
      <c r="T155" s="9"/>
      <c r="U155" s="9"/>
      <c r="V155" s="9"/>
      <c r="W155" s="9"/>
      <c r="X155" s="9"/>
      <c r="Y155" s="9"/>
      <c r="Z155" s="9"/>
      <c r="AA155" s="9"/>
    </row>
    <row r="156" spans="1:27">
      <c r="A156" s="9"/>
      <c r="B156" s="9"/>
      <c r="C156" s="5"/>
      <c r="D156" s="5"/>
      <c r="E156" s="5"/>
      <c r="F156" s="9"/>
      <c r="G156" s="9"/>
      <c r="H156" s="9"/>
      <c r="I156" s="9"/>
      <c r="J156" s="9"/>
      <c r="K156" s="9"/>
      <c r="L156" s="9"/>
      <c r="M156" s="9"/>
      <c r="N156" s="9"/>
      <c r="O156" s="9"/>
      <c r="P156" s="9"/>
      <c r="Q156" s="9"/>
      <c r="R156" s="9"/>
      <c r="S156" s="9"/>
      <c r="T156" s="9"/>
      <c r="U156" s="9"/>
      <c r="V156" s="9"/>
      <c r="W156" s="9"/>
      <c r="X156" s="9"/>
      <c r="Y156" s="9"/>
      <c r="Z156" s="9"/>
      <c r="AA156" s="9"/>
    </row>
    <row r="157" spans="1:27">
      <c r="A157" s="9"/>
      <c r="B157" s="9"/>
      <c r="C157" s="5"/>
      <c r="D157" s="5"/>
      <c r="E157" s="5"/>
      <c r="F157" s="9"/>
      <c r="G157" s="9"/>
      <c r="H157" s="9"/>
      <c r="I157" s="9"/>
      <c r="J157" s="9"/>
      <c r="K157" s="9"/>
      <c r="L157" s="9"/>
      <c r="M157" s="9"/>
      <c r="N157" s="9"/>
      <c r="O157" s="9"/>
      <c r="P157" s="9"/>
      <c r="Q157" s="9"/>
      <c r="R157" s="9"/>
      <c r="S157" s="9"/>
      <c r="T157" s="9"/>
      <c r="U157" s="9"/>
      <c r="V157" s="9"/>
      <c r="W157" s="9"/>
      <c r="X157" s="9"/>
      <c r="Y157" s="9"/>
      <c r="Z157" s="9"/>
      <c r="AA157" s="9"/>
    </row>
    <row r="158" spans="1:27">
      <c r="A158" s="9"/>
      <c r="B158" s="9"/>
      <c r="C158" s="5"/>
      <c r="D158" s="5"/>
      <c r="E158" s="5"/>
      <c r="F158" s="9"/>
      <c r="G158" s="9"/>
      <c r="H158" s="9"/>
      <c r="I158" s="9"/>
      <c r="J158" s="9"/>
      <c r="K158" s="9"/>
      <c r="L158" s="9"/>
      <c r="M158" s="9"/>
      <c r="N158" s="9"/>
      <c r="O158" s="9"/>
      <c r="P158" s="9"/>
      <c r="Q158" s="9"/>
      <c r="R158" s="9"/>
      <c r="S158" s="9"/>
      <c r="T158" s="9"/>
      <c r="U158" s="9"/>
      <c r="V158" s="9"/>
      <c r="W158" s="9"/>
      <c r="X158" s="9"/>
      <c r="Y158" s="9"/>
      <c r="Z158" s="9"/>
      <c r="AA158" s="9"/>
    </row>
    <row r="159" spans="1:27">
      <c r="A159" s="9"/>
      <c r="B159" s="9"/>
      <c r="C159" s="5"/>
      <c r="D159" s="5"/>
      <c r="E159" s="5"/>
      <c r="F159" s="9"/>
      <c r="G159" s="9"/>
      <c r="H159" s="9"/>
      <c r="I159" s="9"/>
      <c r="J159" s="9"/>
      <c r="K159" s="9"/>
      <c r="L159" s="9"/>
      <c r="M159" s="9"/>
      <c r="N159" s="9"/>
      <c r="O159" s="9"/>
      <c r="P159" s="9"/>
      <c r="Q159" s="9"/>
      <c r="R159" s="9"/>
      <c r="S159" s="9"/>
      <c r="T159" s="9"/>
      <c r="U159" s="9"/>
      <c r="V159" s="9"/>
      <c r="W159" s="9"/>
      <c r="X159" s="9"/>
      <c r="Y159" s="9"/>
      <c r="Z159" s="9"/>
      <c r="AA159" s="9"/>
    </row>
    <row r="160" spans="1:27">
      <c r="A160" s="9"/>
      <c r="B160" s="9"/>
      <c r="C160" s="5"/>
      <c r="D160" s="5"/>
      <c r="E160" s="5"/>
      <c r="F160" s="9"/>
      <c r="G160" s="9"/>
      <c r="H160" s="9"/>
      <c r="I160" s="9"/>
      <c r="J160" s="9"/>
      <c r="K160" s="9"/>
      <c r="L160" s="9"/>
      <c r="M160" s="9"/>
      <c r="N160" s="9"/>
      <c r="O160" s="9"/>
      <c r="P160" s="9"/>
      <c r="Q160" s="9"/>
      <c r="R160" s="9"/>
      <c r="S160" s="9"/>
      <c r="T160" s="9"/>
      <c r="U160" s="9"/>
      <c r="V160" s="9"/>
      <c r="W160" s="9"/>
      <c r="X160" s="9"/>
      <c r="Y160" s="9"/>
      <c r="Z160" s="9"/>
      <c r="AA160" s="9"/>
    </row>
    <row r="161" spans="1:27">
      <c r="A161" s="9"/>
      <c r="B161" s="9"/>
      <c r="C161" s="5"/>
      <c r="D161" s="5"/>
      <c r="E161" s="5"/>
      <c r="F161" s="9"/>
      <c r="G161" s="9"/>
      <c r="H161" s="9"/>
      <c r="I161" s="9"/>
      <c r="J161" s="9"/>
      <c r="K161" s="9"/>
      <c r="L161" s="9"/>
      <c r="M161" s="9"/>
      <c r="N161" s="9"/>
      <c r="O161" s="9"/>
      <c r="P161" s="9"/>
      <c r="Q161" s="9"/>
      <c r="R161" s="9"/>
      <c r="S161" s="9"/>
      <c r="T161" s="9"/>
      <c r="U161" s="9"/>
      <c r="V161" s="9"/>
      <c r="W161" s="9"/>
      <c r="X161" s="9"/>
      <c r="Y161" s="9"/>
      <c r="Z161" s="9"/>
      <c r="AA161" s="9"/>
    </row>
    <row r="162" spans="1:27">
      <c r="A162" s="9"/>
      <c r="B162" s="9"/>
      <c r="C162" s="5"/>
      <c r="D162" s="5"/>
      <c r="E162" s="5"/>
      <c r="F162" s="9"/>
      <c r="G162" s="9"/>
      <c r="H162" s="9"/>
      <c r="I162" s="9"/>
      <c r="J162" s="9"/>
      <c r="K162" s="9"/>
      <c r="L162" s="9"/>
      <c r="M162" s="9"/>
      <c r="N162" s="9"/>
      <c r="O162" s="9"/>
      <c r="P162" s="9"/>
      <c r="Q162" s="9"/>
      <c r="R162" s="9"/>
      <c r="S162" s="9"/>
      <c r="T162" s="9"/>
      <c r="U162" s="9"/>
      <c r="V162" s="9"/>
      <c r="W162" s="9"/>
      <c r="X162" s="9"/>
      <c r="Y162" s="9"/>
      <c r="Z162" s="9"/>
      <c r="AA162" s="9"/>
    </row>
    <row r="163" spans="1:27">
      <c r="A163" s="9"/>
      <c r="B163" s="9"/>
      <c r="C163" s="5"/>
      <c r="D163" s="5"/>
      <c r="E163" s="5"/>
      <c r="F163" s="9"/>
      <c r="G163" s="9"/>
      <c r="H163" s="9"/>
      <c r="I163" s="9"/>
      <c r="J163" s="9"/>
      <c r="K163" s="9"/>
      <c r="L163" s="9"/>
      <c r="M163" s="9"/>
      <c r="N163" s="9"/>
      <c r="O163" s="9"/>
      <c r="P163" s="9"/>
      <c r="Q163" s="9"/>
      <c r="R163" s="9"/>
      <c r="S163" s="9"/>
      <c r="T163" s="9"/>
      <c r="U163" s="9"/>
      <c r="V163" s="9"/>
      <c r="W163" s="9"/>
      <c r="X163" s="9"/>
      <c r="Y163" s="9"/>
      <c r="Z163" s="9"/>
      <c r="AA163" s="9"/>
    </row>
    <row r="164" spans="1:27">
      <c r="A164" s="9"/>
      <c r="B164" s="9"/>
      <c r="C164" s="5"/>
      <c r="D164" s="5"/>
      <c r="E164" s="5"/>
      <c r="F164" s="9"/>
      <c r="G164" s="9"/>
      <c r="H164" s="9"/>
      <c r="I164" s="9"/>
      <c r="J164" s="9"/>
      <c r="K164" s="9"/>
      <c r="L164" s="9"/>
      <c r="M164" s="9"/>
      <c r="N164" s="9"/>
      <c r="O164" s="9"/>
      <c r="P164" s="9"/>
      <c r="Q164" s="9"/>
      <c r="R164" s="9"/>
      <c r="S164" s="9"/>
      <c r="T164" s="9"/>
      <c r="U164" s="9"/>
      <c r="V164" s="9"/>
      <c r="W164" s="9"/>
      <c r="X164" s="9"/>
      <c r="Y164" s="9"/>
      <c r="Z164" s="9"/>
      <c r="AA164" s="9"/>
    </row>
    <row r="165" spans="1:27">
      <c r="A165" s="9"/>
      <c r="B165" s="9"/>
      <c r="C165" s="5"/>
      <c r="D165" s="5"/>
      <c r="E165" s="5"/>
      <c r="F165" s="9"/>
      <c r="G165" s="9"/>
      <c r="H165" s="9"/>
      <c r="I165" s="9"/>
      <c r="J165" s="9"/>
      <c r="K165" s="9"/>
      <c r="L165" s="9"/>
      <c r="M165" s="9"/>
      <c r="N165" s="9"/>
      <c r="O165" s="9"/>
      <c r="P165" s="9"/>
      <c r="Q165" s="9"/>
      <c r="R165" s="9"/>
      <c r="S165" s="9"/>
      <c r="T165" s="9"/>
      <c r="U165" s="9"/>
      <c r="V165" s="9"/>
      <c r="W165" s="9"/>
      <c r="X165" s="9"/>
      <c r="Y165" s="9"/>
      <c r="Z165" s="9"/>
      <c r="AA165" s="9"/>
    </row>
    <row r="166" spans="1:27">
      <c r="A166" s="9"/>
      <c r="B166" s="9"/>
      <c r="C166" s="5"/>
      <c r="D166" s="5"/>
      <c r="E166" s="5"/>
      <c r="F166" s="9"/>
      <c r="G166" s="9"/>
      <c r="H166" s="9"/>
      <c r="I166" s="9"/>
      <c r="J166" s="9"/>
      <c r="K166" s="9"/>
      <c r="L166" s="9"/>
      <c r="M166" s="9"/>
      <c r="N166" s="9"/>
      <c r="O166" s="9"/>
      <c r="P166" s="9"/>
      <c r="Q166" s="9"/>
      <c r="R166" s="9"/>
      <c r="S166" s="9"/>
      <c r="T166" s="9"/>
      <c r="U166" s="9"/>
      <c r="V166" s="9"/>
      <c r="W166" s="9"/>
      <c r="X166" s="9"/>
      <c r="Y166" s="9"/>
      <c r="Z166" s="9"/>
      <c r="AA166" s="9"/>
    </row>
    <row r="167" spans="1:27">
      <c r="A167" s="9"/>
      <c r="B167" s="9"/>
      <c r="C167" s="5"/>
      <c r="D167" s="5"/>
      <c r="E167" s="5"/>
      <c r="F167" s="9"/>
      <c r="G167" s="9"/>
      <c r="H167" s="9"/>
      <c r="I167" s="9"/>
      <c r="J167" s="9"/>
      <c r="K167" s="9"/>
      <c r="L167" s="9"/>
      <c r="M167" s="9"/>
      <c r="N167" s="9"/>
      <c r="O167" s="9"/>
      <c r="P167" s="9"/>
      <c r="Q167" s="9"/>
      <c r="R167" s="9"/>
      <c r="S167" s="9"/>
      <c r="T167" s="9"/>
      <c r="U167" s="9"/>
      <c r="V167" s="9"/>
      <c r="W167" s="9"/>
      <c r="X167" s="9"/>
      <c r="Y167" s="9"/>
      <c r="Z167" s="9"/>
      <c r="AA167" s="9"/>
    </row>
    <row r="168" spans="1:27">
      <c r="A168" s="9"/>
      <c r="B168" s="9"/>
      <c r="C168" s="5"/>
      <c r="D168" s="5"/>
      <c r="E168" s="5"/>
      <c r="F168" s="9"/>
      <c r="G168" s="9"/>
      <c r="H168" s="9"/>
      <c r="I168" s="9"/>
      <c r="J168" s="9"/>
      <c r="K168" s="9"/>
      <c r="L168" s="9"/>
      <c r="M168" s="9"/>
      <c r="N168" s="9"/>
      <c r="O168" s="9"/>
      <c r="P168" s="9"/>
      <c r="Q168" s="9"/>
      <c r="R168" s="9"/>
      <c r="S168" s="9"/>
      <c r="T168" s="9"/>
      <c r="U168" s="9"/>
      <c r="V168" s="9"/>
      <c r="W168" s="9"/>
      <c r="X168" s="9"/>
      <c r="Y168" s="9"/>
      <c r="Z168" s="9"/>
      <c r="AA168" s="9"/>
    </row>
    <row r="169" spans="1:27">
      <c r="A169" s="9"/>
      <c r="B169" s="9"/>
      <c r="C169" s="5"/>
      <c r="D169" s="5"/>
      <c r="E169" s="5"/>
      <c r="F169" s="9"/>
      <c r="G169" s="9"/>
      <c r="H169" s="9"/>
      <c r="I169" s="9"/>
      <c r="J169" s="9"/>
      <c r="K169" s="9"/>
      <c r="L169" s="9"/>
      <c r="M169" s="9"/>
      <c r="N169" s="9"/>
      <c r="O169" s="9"/>
      <c r="P169" s="9"/>
      <c r="Q169" s="9"/>
      <c r="R169" s="9"/>
      <c r="S169" s="9"/>
      <c r="T169" s="9"/>
      <c r="U169" s="9"/>
      <c r="V169" s="9"/>
      <c r="W169" s="9"/>
      <c r="X169" s="9"/>
      <c r="Y169" s="9"/>
      <c r="Z169" s="9"/>
      <c r="AA169" s="9"/>
    </row>
    <row r="170" spans="1:27">
      <c r="A170" s="9"/>
      <c r="B170" s="9"/>
      <c r="C170" s="5"/>
      <c r="D170" s="5"/>
      <c r="E170" s="5"/>
      <c r="F170" s="9"/>
      <c r="G170" s="9"/>
      <c r="H170" s="9"/>
      <c r="I170" s="9"/>
      <c r="J170" s="9"/>
      <c r="K170" s="9"/>
      <c r="L170" s="9"/>
      <c r="M170" s="9"/>
      <c r="N170" s="9"/>
      <c r="O170" s="9"/>
      <c r="P170" s="9"/>
      <c r="Q170" s="9"/>
      <c r="R170" s="9"/>
      <c r="S170" s="9"/>
      <c r="T170" s="9"/>
      <c r="U170" s="9"/>
      <c r="V170" s="9"/>
      <c r="W170" s="9"/>
      <c r="X170" s="9"/>
      <c r="Y170" s="9"/>
      <c r="Z170" s="9"/>
      <c r="AA170" s="9"/>
    </row>
    <row r="171" spans="1:27">
      <c r="A171" s="9"/>
      <c r="B171" s="9"/>
      <c r="C171" s="5"/>
      <c r="D171" s="5"/>
      <c r="E171" s="5"/>
      <c r="F171" s="9"/>
      <c r="G171" s="9"/>
      <c r="H171" s="9"/>
      <c r="I171" s="9"/>
      <c r="J171" s="9"/>
      <c r="K171" s="9"/>
      <c r="L171" s="9"/>
      <c r="M171" s="9"/>
      <c r="N171" s="9"/>
      <c r="O171" s="9"/>
      <c r="P171" s="9"/>
      <c r="Q171" s="9"/>
      <c r="R171" s="9"/>
      <c r="S171" s="9"/>
      <c r="T171" s="9"/>
      <c r="U171" s="9"/>
      <c r="V171" s="9"/>
      <c r="W171" s="9"/>
      <c r="X171" s="9"/>
      <c r="Y171" s="9"/>
      <c r="Z171" s="9"/>
      <c r="AA171" s="9"/>
    </row>
    <row r="172" spans="1:27">
      <c r="A172" s="9"/>
      <c r="B172" s="9"/>
      <c r="C172" s="5"/>
      <c r="D172" s="5"/>
      <c r="E172" s="5"/>
      <c r="F172" s="9"/>
      <c r="G172" s="9"/>
      <c r="H172" s="9"/>
      <c r="I172" s="9"/>
      <c r="J172" s="9"/>
      <c r="K172" s="9"/>
      <c r="L172" s="9"/>
      <c r="M172" s="9"/>
      <c r="N172" s="9"/>
      <c r="O172" s="9"/>
      <c r="P172" s="9"/>
      <c r="Q172" s="9"/>
      <c r="R172" s="9"/>
      <c r="S172" s="9"/>
      <c r="T172" s="9"/>
      <c r="U172" s="9"/>
      <c r="V172" s="9"/>
      <c r="W172" s="9"/>
      <c r="X172" s="9"/>
      <c r="Y172" s="9"/>
      <c r="Z172" s="9"/>
      <c r="AA172" s="9"/>
    </row>
    <row r="173" spans="1:27">
      <c r="A173" s="9"/>
      <c r="B173" s="9"/>
      <c r="C173" s="5"/>
      <c r="D173" s="5"/>
      <c r="E173" s="5"/>
      <c r="F173" s="9"/>
      <c r="G173" s="9"/>
      <c r="H173" s="9"/>
      <c r="I173" s="9"/>
      <c r="J173" s="9"/>
      <c r="K173" s="9"/>
      <c r="L173" s="9"/>
      <c r="M173" s="9"/>
      <c r="N173" s="9"/>
      <c r="O173" s="9"/>
      <c r="P173" s="9"/>
      <c r="Q173" s="9"/>
      <c r="R173" s="9"/>
      <c r="S173" s="9"/>
      <c r="T173" s="9"/>
      <c r="U173" s="9"/>
      <c r="V173" s="9"/>
      <c r="W173" s="9"/>
      <c r="X173" s="9"/>
      <c r="Y173" s="9"/>
      <c r="Z173" s="9"/>
      <c r="AA173" s="9"/>
    </row>
    <row r="174" spans="1:27">
      <c r="A174" s="9"/>
      <c r="B174" s="9"/>
      <c r="C174" s="5"/>
      <c r="D174" s="5"/>
      <c r="E174" s="5"/>
      <c r="F174" s="9"/>
      <c r="G174" s="9"/>
      <c r="H174" s="9"/>
      <c r="I174" s="9"/>
      <c r="J174" s="9"/>
      <c r="K174" s="9"/>
      <c r="L174" s="9"/>
      <c r="M174" s="9"/>
      <c r="N174" s="9"/>
      <c r="O174" s="9"/>
      <c r="P174" s="9"/>
      <c r="Q174" s="9"/>
      <c r="R174" s="9"/>
      <c r="S174" s="9"/>
      <c r="T174" s="9"/>
      <c r="U174" s="9"/>
      <c r="V174" s="9"/>
      <c r="W174" s="9"/>
      <c r="X174" s="9"/>
      <c r="Y174" s="9"/>
      <c r="Z174" s="9"/>
      <c r="AA174" s="9"/>
    </row>
    <row r="175" spans="1:27">
      <c r="A175" s="9"/>
      <c r="B175" s="9"/>
      <c r="C175" s="5"/>
      <c r="D175" s="5"/>
      <c r="E175" s="5"/>
      <c r="F175" s="9"/>
      <c r="G175" s="9"/>
      <c r="H175" s="9"/>
      <c r="I175" s="9"/>
      <c r="J175" s="9"/>
      <c r="K175" s="9"/>
      <c r="L175" s="9"/>
      <c r="M175" s="9"/>
      <c r="N175" s="9"/>
      <c r="O175" s="9"/>
      <c r="P175" s="9"/>
      <c r="Q175" s="9"/>
      <c r="R175" s="9"/>
      <c r="S175" s="9"/>
      <c r="T175" s="9"/>
      <c r="U175" s="9"/>
      <c r="V175" s="9"/>
      <c r="W175" s="9"/>
      <c r="X175" s="9"/>
      <c r="Y175" s="9"/>
      <c r="Z175" s="9"/>
      <c r="AA175" s="9"/>
    </row>
    <row r="176" spans="1:27">
      <c r="A176" s="9"/>
      <c r="B176" s="9"/>
      <c r="C176" s="5"/>
      <c r="D176" s="5"/>
      <c r="E176" s="5"/>
      <c r="F176" s="9"/>
      <c r="G176" s="9"/>
      <c r="H176" s="9"/>
      <c r="I176" s="9"/>
      <c r="J176" s="9"/>
      <c r="K176" s="9"/>
      <c r="L176" s="9"/>
      <c r="M176" s="9"/>
      <c r="N176" s="9"/>
      <c r="O176" s="9"/>
      <c r="P176" s="9"/>
      <c r="Q176" s="9"/>
      <c r="R176" s="9"/>
      <c r="S176" s="9"/>
      <c r="T176" s="9"/>
      <c r="U176" s="9"/>
      <c r="V176" s="9"/>
      <c r="W176" s="9"/>
      <c r="X176" s="9"/>
      <c r="Y176" s="9"/>
      <c r="Z176" s="9"/>
      <c r="AA176" s="9"/>
    </row>
    <row r="177" spans="1:27">
      <c r="A177" s="9"/>
      <c r="B177" s="9"/>
      <c r="C177" s="5"/>
      <c r="D177" s="5"/>
      <c r="E177" s="5"/>
      <c r="F177" s="9"/>
      <c r="G177" s="9"/>
      <c r="H177" s="9"/>
      <c r="I177" s="9"/>
      <c r="J177" s="9"/>
      <c r="K177" s="9"/>
      <c r="L177" s="9"/>
      <c r="M177" s="9"/>
      <c r="N177" s="9"/>
      <c r="O177" s="9"/>
      <c r="P177" s="9"/>
      <c r="Q177" s="9"/>
      <c r="R177" s="9"/>
      <c r="S177" s="9"/>
      <c r="T177" s="9"/>
      <c r="U177" s="9"/>
      <c r="V177" s="9"/>
      <c r="W177" s="9"/>
      <c r="X177" s="9"/>
      <c r="Y177" s="9"/>
      <c r="Z177" s="9"/>
      <c r="AA177" s="9"/>
    </row>
    <row r="178" spans="1:27">
      <c r="A178" s="9"/>
      <c r="B178" s="9"/>
      <c r="C178" s="5"/>
      <c r="D178" s="5"/>
      <c r="E178" s="5"/>
      <c r="F178" s="9"/>
      <c r="G178" s="9"/>
      <c r="H178" s="9"/>
      <c r="I178" s="9"/>
      <c r="J178" s="9"/>
      <c r="K178" s="9"/>
      <c r="L178" s="9"/>
      <c r="M178" s="9"/>
      <c r="N178" s="9"/>
      <c r="O178" s="9"/>
      <c r="P178" s="9"/>
      <c r="Q178" s="9"/>
      <c r="R178" s="9"/>
      <c r="S178" s="9"/>
      <c r="T178" s="9"/>
      <c r="U178" s="9"/>
      <c r="V178" s="9"/>
      <c r="W178" s="9"/>
      <c r="X178" s="9"/>
      <c r="Y178" s="9"/>
      <c r="Z178" s="9"/>
      <c r="AA178" s="9"/>
    </row>
    <row r="179" spans="1:27">
      <c r="A179" s="9"/>
      <c r="B179" s="9"/>
      <c r="C179" s="5"/>
      <c r="D179" s="5"/>
      <c r="E179" s="5"/>
      <c r="F179" s="9"/>
      <c r="G179" s="9"/>
      <c r="H179" s="9"/>
      <c r="I179" s="9"/>
      <c r="J179" s="9"/>
      <c r="K179" s="9"/>
      <c r="L179" s="9"/>
      <c r="M179" s="9"/>
      <c r="N179" s="9"/>
      <c r="O179" s="9"/>
      <c r="P179" s="9"/>
      <c r="Q179" s="9"/>
      <c r="R179" s="9"/>
      <c r="S179" s="9"/>
      <c r="T179" s="9"/>
      <c r="U179" s="9"/>
      <c r="V179" s="9"/>
      <c r="W179" s="9"/>
      <c r="X179" s="9"/>
      <c r="Y179" s="9"/>
      <c r="Z179" s="9"/>
      <c r="AA179" s="9"/>
    </row>
    <row r="180" spans="1:27">
      <c r="A180" s="9"/>
      <c r="B180" s="9"/>
      <c r="C180" s="5"/>
      <c r="D180" s="5"/>
      <c r="E180" s="5"/>
      <c r="F180" s="9"/>
      <c r="G180" s="9"/>
      <c r="H180" s="9"/>
      <c r="I180" s="9"/>
      <c r="J180" s="9"/>
      <c r="K180" s="9"/>
      <c r="L180" s="9"/>
      <c r="M180" s="9"/>
      <c r="N180" s="9"/>
      <c r="O180" s="9"/>
      <c r="P180" s="9"/>
      <c r="Q180" s="9"/>
      <c r="R180" s="9"/>
      <c r="S180" s="9"/>
      <c r="T180" s="9"/>
      <c r="U180" s="9"/>
      <c r="V180" s="9"/>
      <c r="W180" s="9"/>
      <c r="X180" s="9"/>
      <c r="Y180" s="9"/>
      <c r="Z180" s="9"/>
      <c r="AA180" s="9"/>
    </row>
    <row r="181" spans="1:27">
      <c r="A181" s="9"/>
      <c r="B181" s="9"/>
      <c r="C181" s="5"/>
      <c r="D181" s="5"/>
      <c r="E181" s="5"/>
      <c r="F181" s="9"/>
      <c r="G181" s="9"/>
      <c r="H181" s="9"/>
      <c r="I181" s="9"/>
      <c r="J181" s="9"/>
      <c r="K181" s="9"/>
      <c r="L181" s="9"/>
      <c r="M181" s="9"/>
      <c r="N181" s="9"/>
      <c r="O181" s="9"/>
      <c r="P181" s="9"/>
      <c r="Q181" s="9"/>
      <c r="R181" s="9"/>
      <c r="S181" s="9"/>
      <c r="T181" s="9"/>
      <c r="U181" s="9"/>
      <c r="V181" s="9"/>
      <c r="W181" s="9"/>
      <c r="X181" s="9"/>
      <c r="Y181" s="9"/>
      <c r="Z181" s="9"/>
      <c r="AA181" s="9"/>
    </row>
    <row r="182" spans="1:27">
      <c r="A182" s="9"/>
      <c r="B182" s="9"/>
      <c r="C182" s="5"/>
      <c r="D182" s="5"/>
      <c r="E182" s="5"/>
      <c r="F182" s="9"/>
      <c r="G182" s="9"/>
      <c r="H182" s="9"/>
      <c r="I182" s="9"/>
      <c r="J182" s="9"/>
      <c r="K182" s="9"/>
      <c r="L182" s="9"/>
      <c r="M182" s="9"/>
      <c r="N182" s="9"/>
      <c r="O182" s="9"/>
      <c r="P182" s="9"/>
      <c r="Q182" s="9"/>
      <c r="R182" s="9"/>
      <c r="S182" s="9"/>
      <c r="T182" s="9"/>
      <c r="U182" s="9"/>
      <c r="V182" s="9"/>
      <c r="W182" s="9"/>
      <c r="X182" s="9"/>
      <c r="Y182" s="9"/>
      <c r="Z182" s="9"/>
      <c r="AA182" s="9"/>
    </row>
    <row r="183" spans="1:27">
      <c r="A183" s="9"/>
      <c r="B183" s="9"/>
      <c r="C183" s="5"/>
      <c r="D183" s="5"/>
      <c r="E183" s="5"/>
      <c r="F183" s="9"/>
      <c r="G183" s="9"/>
      <c r="H183" s="9"/>
      <c r="I183" s="9"/>
      <c r="J183" s="9"/>
      <c r="K183" s="9"/>
      <c r="L183" s="9"/>
      <c r="M183" s="9"/>
      <c r="N183" s="9"/>
      <c r="O183" s="9"/>
      <c r="P183" s="9"/>
      <c r="Q183" s="9"/>
      <c r="R183" s="9"/>
      <c r="S183" s="9"/>
      <c r="T183" s="9"/>
      <c r="U183" s="9"/>
      <c r="V183" s="9"/>
      <c r="W183" s="9"/>
      <c r="X183" s="9"/>
      <c r="Y183" s="9"/>
      <c r="Z183" s="9"/>
      <c r="AA183" s="9"/>
    </row>
    <row r="184" spans="1:27">
      <c r="A184" s="9"/>
      <c r="B184" s="9"/>
      <c r="C184" s="5"/>
      <c r="D184" s="5"/>
      <c r="E184" s="5"/>
      <c r="F184" s="9"/>
      <c r="G184" s="9"/>
      <c r="H184" s="9"/>
      <c r="I184" s="9"/>
      <c r="J184" s="9"/>
      <c r="K184" s="9"/>
      <c r="L184" s="9"/>
      <c r="M184" s="9"/>
      <c r="N184" s="9"/>
      <c r="O184" s="9"/>
      <c r="P184" s="9"/>
      <c r="Q184" s="9"/>
      <c r="R184" s="9"/>
      <c r="S184" s="9"/>
      <c r="T184" s="9"/>
      <c r="U184" s="9"/>
      <c r="V184" s="9"/>
      <c r="W184" s="9"/>
      <c r="X184" s="9"/>
      <c r="Y184" s="9"/>
      <c r="Z184" s="9"/>
      <c r="AA184" s="9"/>
    </row>
    <row r="185" spans="1:27">
      <c r="A185" s="9"/>
      <c r="B185" s="9"/>
      <c r="C185" s="5"/>
      <c r="D185" s="5"/>
      <c r="E185" s="5"/>
      <c r="F185" s="9"/>
      <c r="G185" s="9"/>
      <c r="H185" s="9"/>
      <c r="I185" s="9"/>
      <c r="J185" s="9"/>
      <c r="K185" s="9"/>
      <c r="L185" s="9"/>
      <c r="M185" s="9"/>
      <c r="N185" s="9"/>
      <c r="O185" s="9"/>
      <c r="P185" s="9"/>
      <c r="Q185" s="9"/>
      <c r="R185" s="9"/>
      <c r="S185" s="9"/>
      <c r="T185" s="9"/>
      <c r="U185" s="9"/>
      <c r="V185" s="9"/>
      <c r="W185" s="9"/>
      <c r="X185" s="9"/>
      <c r="Y185" s="9"/>
      <c r="Z185" s="9"/>
      <c r="AA185" s="9"/>
    </row>
    <row r="186" spans="1:27">
      <c r="A186" s="9"/>
      <c r="B186" s="9"/>
      <c r="C186" s="5"/>
      <c r="D186" s="5"/>
      <c r="E186" s="5"/>
      <c r="F186" s="9"/>
      <c r="G186" s="9"/>
      <c r="H186" s="9"/>
      <c r="I186" s="9"/>
      <c r="J186" s="9"/>
      <c r="K186" s="9"/>
      <c r="L186" s="9"/>
      <c r="M186" s="9"/>
      <c r="N186" s="9"/>
      <c r="O186" s="9"/>
      <c r="P186" s="9"/>
      <c r="Q186" s="9"/>
      <c r="R186" s="9"/>
      <c r="S186" s="9"/>
      <c r="T186" s="9"/>
      <c r="U186" s="9"/>
      <c r="V186" s="9"/>
      <c r="W186" s="9"/>
      <c r="X186" s="9"/>
      <c r="Y186" s="9"/>
      <c r="Z186" s="9"/>
      <c r="AA186" s="9"/>
    </row>
    <row r="187" spans="1:27">
      <c r="A187" s="9"/>
      <c r="B187" s="9"/>
      <c r="C187" s="5"/>
      <c r="D187" s="5"/>
      <c r="E187" s="5"/>
      <c r="F187" s="9"/>
      <c r="G187" s="9"/>
      <c r="H187" s="9"/>
      <c r="I187" s="9"/>
      <c r="J187" s="9"/>
      <c r="K187" s="9"/>
      <c r="L187" s="9"/>
      <c r="M187" s="9"/>
      <c r="N187" s="9"/>
      <c r="O187" s="9"/>
      <c r="P187" s="9"/>
      <c r="Q187" s="9"/>
      <c r="R187" s="9"/>
      <c r="S187" s="9"/>
      <c r="T187" s="9"/>
      <c r="U187" s="9"/>
      <c r="V187" s="9"/>
      <c r="W187" s="9"/>
      <c r="X187" s="9"/>
      <c r="Y187" s="9"/>
      <c r="Z187" s="9"/>
      <c r="AA187" s="9"/>
    </row>
    <row r="188" spans="1:27">
      <c r="A188" s="9"/>
      <c r="B188" s="9"/>
      <c r="C188" s="5"/>
      <c r="D188" s="5"/>
      <c r="E188" s="5"/>
      <c r="F188" s="9"/>
      <c r="G188" s="9"/>
      <c r="H188" s="9"/>
      <c r="I188" s="9"/>
      <c r="J188" s="9"/>
      <c r="K188" s="9"/>
      <c r="L188" s="9"/>
      <c r="M188" s="9"/>
      <c r="N188" s="9"/>
      <c r="O188" s="9"/>
      <c r="P188" s="9"/>
      <c r="Q188" s="9"/>
      <c r="R188" s="9"/>
      <c r="S188" s="9"/>
      <c r="T188" s="9"/>
      <c r="U188" s="9"/>
      <c r="V188" s="9"/>
      <c r="W188" s="9"/>
      <c r="X188" s="9"/>
      <c r="Y188" s="9"/>
      <c r="Z188" s="9"/>
      <c r="AA188" s="9"/>
    </row>
    <row r="189" spans="1:27">
      <c r="A189" s="9"/>
      <c r="B189" s="9"/>
      <c r="C189" s="5"/>
      <c r="D189" s="5"/>
      <c r="E189" s="5"/>
      <c r="F189" s="9"/>
      <c r="G189" s="9"/>
      <c r="H189" s="9"/>
      <c r="I189" s="9"/>
      <c r="J189" s="9"/>
      <c r="K189" s="9"/>
      <c r="L189" s="9"/>
      <c r="M189" s="9"/>
      <c r="N189" s="9"/>
      <c r="O189" s="9"/>
      <c r="P189" s="9"/>
      <c r="Q189" s="9"/>
      <c r="R189" s="9"/>
      <c r="S189" s="9"/>
      <c r="T189" s="9"/>
      <c r="U189" s="9"/>
      <c r="V189" s="9"/>
      <c r="W189" s="9"/>
      <c r="X189" s="9"/>
      <c r="Y189" s="9"/>
      <c r="Z189" s="9"/>
      <c r="AA189" s="9"/>
    </row>
    <row r="190" spans="1:27">
      <c r="A190" s="9"/>
      <c r="B190" s="9"/>
      <c r="C190" s="5"/>
      <c r="D190" s="5"/>
      <c r="E190" s="5"/>
      <c r="F190" s="9"/>
      <c r="G190" s="9"/>
      <c r="H190" s="9"/>
      <c r="I190" s="9"/>
      <c r="J190" s="9"/>
      <c r="K190" s="9"/>
      <c r="L190" s="9"/>
      <c r="M190" s="9"/>
      <c r="N190" s="9"/>
      <c r="O190" s="9"/>
      <c r="P190" s="9"/>
      <c r="Q190" s="9"/>
      <c r="R190" s="9"/>
      <c r="S190" s="9"/>
      <c r="T190" s="9"/>
      <c r="U190" s="9"/>
      <c r="V190" s="9"/>
      <c r="W190" s="9"/>
      <c r="X190" s="9"/>
      <c r="Y190" s="9"/>
      <c r="Z190" s="9"/>
      <c r="AA190" s="9"/>
    </row>
    <row r="191" spans="1:27">
      <c r="A191" s="9"/>
      <c r="B191" s="9"/>
      <c r="C191" s="5"/>
      <c r="D191" s="5"/>
      <c r="E191" s="5"/>
      <c r="F191" s="9"/>
      <c r="G191" s="9"/>
      <c r="H191" s="9"/>
      <c r="I191" s="9"/>
      <c r="J191" s="9"/>
      <c r="K191" s="9"/>
      <c r="L191" s="9"/>
      <c r="M191" s="9"/>
      <c r="N191" s="9"/>
      <c r="O191" s="9"/>
      <c r="P191" s="9"/>
      <c r="Q191" s="9"/>
      <c r="R191" s="9"/>
      <c r="S191" s="9"/>
      <c r="T191" s="9"/>
      <c r="U191" s="9"/>
      <c r="V191" s="9"/>
      <c r="W191" s="9"/>
      <c r="X191" s="9"/>
      <c r="Y191" s="9"/>
      <c r="Z191" s="9"/>
      <c r="AA191" s="9"/>
    </row>
    <row r="192" spans="1:27">
      <c r="A192" s="9"/>
      <c r="B192" s="9"/>
      <c r="C192" s="5"/>
      <c r="D192" s="5"/>
      <c r="E192" s="5"/>
      <c r="F192" s="9"/>
      <c r="G192" s="9"/>
      <c r="H192" s="9"/>
      <c r="I192" s="9"/>
      <c r="J192" s="9"/>
      <c r="K192" s="9"/>
      <c r="L192" s="9"/>
      <c r="M192" s="9"/>
      <c r="N192" s="9"/>
      <c r="O192" s="9"/>
      <c r="P192" s="9"/>
      <c r="Q192" s="9"/>
      <c r="R192" s="9"/>
      <c r="S192" s="9"/>
      <c r="T192" s="9"/>
      <c r="U192" s="9"/>
      <c r="V192" s="9"/>
      <c r="W192" s="9"/>
      <c r="X192" s="9"/>
      <c r="Y192" s="9"/>
      <c r="Z192" s="9"/>
      <c r="AA192" s="9"/>
    </row>
    <row r="193" spans="1:27">
      <c r="A193" s="9"/>
      <c r="B193" s="9"/>
      <c r="C193" s="5"/>
      <c r="D193" s="5"/>
      <c r="E193" s="5"/>
      <c r="F193" s="9"/>
      <c r="G193" s="9"/>
      <c r="H193" s="9"/>
      <c r="I193" s="9"/>
      <c r="J193" s="9"/>
      <c r="K193" s="9"/>
      <c r="L193" s="9"/>
      <c r="M193" s="9"/>
      <c r="N193" s="9"/>
      <c r="O193" s="9"/>
      <c r="P193" s="9"/>
      <c r="Q193" s="9"/>
      <c r="R193" s="9"/>
      <c r="S193" s="9"/>
      <c r="T193" s="9"/>
      <c r="U193" s="9"/>
      <c r="V193" s="9"/>
      <c r="W193" s="9"/>
      <c r="X193" s="9"/>
      <c r="Y193" s="9"/>
      <c r="Z193" s="9"/>
      <c r="AA193" s="9"/>
    </row>
    <row r="194" spans="1:27">
      <c r="A194" s="9"/>
      <c r="B194" s="9"/>
      <c r="C194" s="5"/>
      <c r="D194" s="5"/>
      <c r="E194" s="5"/>
      <c r="F194" s="9"/>
      <c r="G194" s="9"/>
      <c r="H194" s="9"/>
      <c r="I194" s="9"/>
      <c r="J194" s="9"/>
      <c r="K194" s="9"/>
      <c r="L194" s="9"/>
      <c r="M194" s="9"/>
      <c r="N194" s="9"/>
      <c r="O194" s="9"/>
      <c r="P194" s="9"/>
      <c r="Q194" s="9"/>
      <c r="R194" s="9"/>
      <c r="S194" s="9"/>
      <c r="T194" s="9"/>
      <c r="U194" s="9"/>
      <c r="V194" s="9"/>
      <c r="W194" s="9"/>
      <c r="X194" s="9"/>
      <c r="Y194" s="9"/>
      <c r="Z194" s="9"/>
      <c r="AA194" s="9"/>
    </row>
    <row r="195" spans="1:27">
      <c r="A195" s="9"/>
      <c r="B195" s="9"/>
      <c r="C195" s="5"/>
      <c r="D195" s="5"/>
      <c r="E195" s="5"/>
      <c r="F195" s="9"/>
      <c r="G195" s="9"/>
      <c r="H195" s="9"/>
      <c r="I195" s="9"/>
      <c r="J195" s="9"/>
      <c r="K195" s="9"/>
      <c r="L195" s="9"/>
      <c r="M195" s="9"/>
      <c r="N195" s="9"/>
      <c r="O195" s="9"/>
      <c r="P195" s="9"/>
      <c r="Q195" s="9"/>
      <c r="R195" s="9"/>
      <c r="S195" s="9"/>
      <c r="T195" s="9"/>
      <c r="U195" s="9"/>
      <c r="V195" s="9"/>
      <c r="W195" s="9"/>
      <c r="X195" s="9"/>
      <c r="Y195" s="9"/>
      <c r="Z195" s="9"/>
      <c r="AA195" s="9"/>
    </row>
    <row r="196" spans="1:27">
      <c r="A196" s="9"/>
      <c r="B196" s="9"/>
      <c r="C196" s="5"/>
      <c r="D196" s="5"/>
      <c r="E196" s="5"/>
      <c r="F196" s="9"/>
      <c r="G196" s="9"/>
      <c r="H196" s="9"/>
      <c r="I196" s="9"/>
      <c r="J196" s="9"/>
      <c r="K196" s="9"/>
      <c r="L196" s="9"/>
      <c r="M196" s="9"/>
      <c r="N196" s="9"/>
      <c r="O196" s="9"/>
      <c r="P196" s="9"/>
      <c r="Q196" s="9"/>
      <c r="R196" s="9"/>
      <c r="S196" s="9"/>
      <c r="T196" s="9"/>
      <c r="U196" s="9"/>
      <c r="V196" s="9"/>
      <c r="W196" s="9"/>
      <c r="X196" s="9"/>
      <c r="Y196" s="9"/>
      <c r="Z196" s="9"/>
      <c r="AA196" s="9"/>
    </row>
    <row r="197" spans="1:27">
      <c r="A197" s="9"/>
      <c r="B197" s="9"/>
      <c r="C197" s="5"/>
      <c r="D197" s="5"/>
      <c r="E197" s="5"/>
      <c r="F197" s="9"/>
      <c r="G197" s="9"/>
      <c r="H197" s="9"/>
      <c r="I197" s="9"/>
      <c r="J197" s="9"/>
      <c r="K197" s="9"/>
      <c r="L197" s="9"/>
      <c r="M197" s="9"/>
      <c r="N197" s="9"/>
      <c r="O197" s="9"/>
      <c r="P197" s="9"/>
      <c r="Q197" s="9"/>
      <c r="R197" s="9"/>
      <c r="S197" s="9"/>
      <c r="T197" s="9"/>
      <c r="U197" s="9"/>
      <c r="V197" s="9"/>
      <c r="W197" s="9"/>
      <c r="X197" s="9"/>
      <c r="Y197" s="9"/>
      <c r="Z197" s="9"/>
      <c r="AA197" s="9"/>
    </row>
    <row r="198" spans="1:27">
      <c r="A198" s="9"/>
      <c r="B198" s="9"/>
      <c r="C198" s="5"/>
      <c r="D198" s="5"/>
      <c r="E198" s="5"/>
      <c r="F198" s="9"/>
      <c r="G198" s="9"/>
      <c r="H198" s="9"/>
      <c r="I198" s="9"/>
      <c r="J198" s="9"/>
      <c r="K198" s="9"/>
      <c r="L198" s="9"/>
      <c r="M198" s="9"/>
      <c r="N198" s="9"/>
      <c r="O198" s="9"/>
      <c r="P198" s="9"/>
      <c r="Q198" s="9"/>
      <c r="R198" s="9"/>
      <c r="S198" s="9"/>
      <c r="T198" s="9"/>
      <c r="U198" s="9"/>
      <c r="V198" s="9"/>
      <c r="W198" s="9"/>
      <c r="X198" s="9"/>
      <c r="Y198" s="9"/>
      <c r="Z198" s="9"/>
      <c r="AA198" s="9"/>
    </row>
    <row r="199" spans="1:27">
      <c r="A199" s="9"/>
      <c r="B199" s="9"/>
      <c r="C199" s="5"/>
      <c r="D199" s="5"/>
      <c r="E199" s="5"/>
      <c r="F199" s="9"/>
      <c r="G199" s="9"/>
      <c r="H199" s="9"/>
      <c r="I199" s="9"/>
      <c r="J199" s="9"/>
      <c r="K199" s="9"/>
      <c r="L199" s="9"/>
      <c r="M199" s="9"/>
      <c r="N199" s="9"/>
      <c r="O199" s="9"/>
      <c r="P199" s="9"/>
      <c r="Q199" s="9"/>
      <c r="R199" s="9"/>
      <c r="S199" s="9"/>
      <c r="T199" s="9"/>
      <c r="U199" s="9"/>
      <c r="V199" s="9"/>
      <c r="W199" s="9"/>
      <c r="X199" s="9"/>
      <c r="Y199" s="9"/>
      <c r="Z199" s="9"/>
      <c r="AA199" s="9"/>
    </row>
    <row r="200" spans="1:27">
      <c r="A200" s="9"/>
      <c r="B200" s="9"/>
      <c r="C200" s="5"/>
      <c r="D200" s="5"/>
      <c r="E200" s="5"/>
      <c r="F200" s="9"/>
      <c r="G200" s="9"/>
      <c r="H200" s="9"/>
      <c r="I200" s="9"/>
      <c r="J200" s="9"/>
      <c r="K200" s="9"/>
      <c r="L200" s="9"/>
      <c r="M200" s="9"/>
      <c r="N200" s="9"/>
      <c r="O200" s="9"/>
      <c r="P200" s="9"/>
      <c r="Q200" s="9"/>
      <c r="R200" s="9"/>
      <c r="S200" s="9"/>
      <c r="T200" s="9"/>
      <c r="U200" s="9"/>
      <c r="V200" s="9"/>
      <c r="W200" s="9"/>
      <c r="X200" s="9"/>
      <c r="Y200" s="9"/>
      <c r="Z200" s="9"/>
      <c r="AA200" s="9"/>
    </row>
    <row r="201" spans="1:27">
      <c r="A201" s="9"/>
      <c r="B201" s="9"/>
      <c r="C201" s="5"/>
      <c r="D201" s="5"/>
      <c r="E201" s="5"/>
      <c r="F201" s="9"/>
      <c r="G201" s="9"/>
      <c r="H201" s="9"/>
      <c r="I201" s="9"/>
      <c r="J201" s="9"/>
      <c r="K201" s="9"/>
      <c r="L201" s="9"/>
      <c r="M201" s="9"/>
      <c r="N201" s="9"/>
      <c r="O201" s="9"/>
      <c r="P201" s="9"/>
      <c r="Q201" s="9"/>
      <c r="R201" s="9"/>
      <c r="S201" s="9"/>
      <c r="T201" s="9"/>
      <c r="U201" s="9"/>
      <c r="V201" s="9"/>
      <c r="W201" s="9"/>
      <c r="X201" s="9"/>
      <c r="Y201" s="9"/>
      <c r="Z201" s="9"/>
      <c r="AA201" s="9"/>
    </row>
    <row r="202" spans="1:27">
      <c r="A202" s="9"/>
      <c r="B202" s="9"/>
      <c r="C202" s="5"/>
      <c r="D202" s="5"/>
      <c r="E202" s="5"/>
      <c r="F202" s="9"/>
      <c r="G202" s="9"/>
      <c r="H202" s="9"/>
      <c r="I202" s="9"/>
      <c r="J202" s="9"/>
      <c r="K202" s="9"/>
      <c r="L202" s="9"/>
      <c r="M202" s="9"/>
      <c r="N202" s="9"/>
      <c r="O202" s="9"/>
      <c r="P202" s="9"/>
      <c r="Q202" s="9"/>
      <c r="R202" s="9"/>
      <c r="S202" s="9"/>
      <c r="T202" s="9"/>
      <c r="U202" s="9"/>
      <c r="V202" s="9"/>
      <c r="W202" s="9"/>
      <c r="X202" s="9"/>
      <c r="Y202" s="9"/>
      <c r="Z202" s="9"/>
      <c r="AA202" s="9"/>
    </row>
    <row r="203" spans="1:27">
      <c r="A203" s="9"/>
      <c r="B203" s="9"/>
      <c r="C203" s="5"/>
      <c r="D203" s="5"/>
      <c r="E203" s="5"/>
      <c r="F203" s="9"/>
      <c r="G203" s="9"/>
      <c r="H203" s="9"/>
      <c r="I203" s="9"/>
      <c r="J203" s="9"/>
      <c r="K203" s="9"/>
      <c r="L203" s="9"/>
      <c r="M203" s="9"/>
      <c r="N203" s="9"/>
      <c r="O203" s="9"/>
      <c r="P203" s="9"/>
      <c r="Q203" s="9"/>
      <c r="R203" s="9"/>
      <c r="S203" s="9"/>
      <c r="T203" s="9"/>
      <c r="U203" s="9"/>
      <c r="V203" s="9"/>
      <c r="W203" s="9"/>
      <c r="X203" s="9"/>
      <c r="Y203" s="9"/>
      <c r="Z203" s="9"/>
      <c r="AA203" s="9"/>
    </row>
    <row r="204" spans="1:27">
      <c r="A204" s="9"/>
      <c r="B204" s="9"/>
      <c r="C204" s="5"/>
      <c r="D204" s="5"/>
      <c r="E204" s="5"/>
      <c r="F204" s="9"/>
      <c r="G204" s="9"/>
      <c r="H204" s="9"/>
      <c r="I204" s="9"/>
      <c r="J204" s="9"/>
      <c r="K204" s="9"/>
      <c r="L204" s="9"/>
      <c r="M204" s="9"/>
      <c r="N204" s="9"/>
      <c r="O204" s="9"/>
      <c r="P204" s="9"/>
      <c r="Q204" s="9"/>
      <c r="R204" s="9"/>
      <c r="S204" s="9"/>
      <c r="T204" s="9"/>
      <c r="U204" s="9"/>
      <c r="V204" s="9"/>
      <c r="W204" s="9"/>
      <c r="X204" s="9"/>
      <c r="Y204" s="9"/>
      <c r="Z204" s="9"/>
      <c r="AA204" s="9"/>
    </row>
    <row r="205" spans="1:27">
      <c r="A205" s="9"/>
      <c r="B205" s="9"/>
      <c r="C205" s="5"/>
      <c r="D205" s="5"/>
      <c r="E205" s="5"/>
      <c r="F205" s="9"/>
      <c r="G205" s="9"/>
      <c r="H205" s="9"/>
      <c r="I205" s="9"/>
      <c r="J205" s="9"/>
      <c r="K205" s="9"/>
      <c r="L205" s="9"/>
      <c r="M205" s="9"/>
      <c r="N205" s="9"/>
      <c r="O205" s="9"/>
      <c r="P205" s="9"/>
      <c r="Q205" s="9"/>
      <c r="R205" s="9"/>
      <c r="S205" s="9"/>
      <c r="T205" s="9"/>
      <c r="U205" s="9"/>
      <c r="V205" s="9"/>
      <c r="W205" s="9"/>
      <c r="X205" s="9"/>
      <c r="Y205" s="9"/>
      <c r="Z205" s="9"/>
      <c r="AA205" s="9"/>
    </row>
    <row r="206" spans="1:27">
      <c r="A206" s="9"/>
      <c r="B206" s="9"/>
      <c r="C206" s="5"/>
      <c r="D206" s="5"/>
      <c r="E206" s="5"/>
      <c r="F206" s="9"/>
      <c r="G206" s="9"/>
      <c r="H206" s="9"/>
      <c r="I206" s="9"/>
      <c r="J206" s="9"/>
      <c r="K206" s="9"/>
      <c r="L206" s="9"/>
      <c r="M206" s="9"/>
      <c r="N206" s="9"/>
      <c r="O206" s="9"/>
      <c r="P206" s="9"/>
      <c r="Q206" s="9"/>
      <c r="R206" s="9"/>
      <c r="S206" s="9"/>
      <c r="T206" s="9"/>
      <c r="U206" s="9"/>
      <c r="V206" s="9"/>
      <c r="W206" s="9"/>
      <c r="X206" s="9"/>
      <c r="Y206" s="9"/>
      <c r="Z206" s="9"/>
      <c r="AA206" s="9"/>
    </row>
    <row r="207" spans="1:27">
      <c r="A207" s="9"/>
      <c r="B207" s="9"/>
      <c r="C207" s="5"/>
      <c r="D207" s="5"/>
      <c r="E207" s="5"/>
      <c r="F207" s="9"/>
      <c r="G207" s="9"/>
      <c r="H207" s="9"/>
      <c r="I207" s="9"/>
      <c r="J207" s="9"/>
      <c r="K207" s="9"/>
      <c r="L207" s="9"/>
      <c r="M207" s="9"/>
      <c r="N207" s="9"/>
      <c r="O207" s="9"/>
      <c r="P207" s="9"/>
      <c r="Q207" s="9"/>
      <c r="R207" s="9"/>
      <c r="S207" s="9"/>
      <c r="T207" s="9"/>
      <c r="U207" s="9"/>
      <c r="V207" s="9"/>
      <c r="W207" s="9"/>
      <c r="X207" s="9"/>
      <c r="Y207" s="9"/>
      <c r="Z207" s="9"/>
      <c r="AA207" s="9"/>
    </row>
    <row r="208" spans="1:27">
      <c r="A208" s="9"/>
      <c r="B208" s="9"/>
      <c r="C208" s="5"/>
      <c r="D208" s="5"/>
      <c r="E208" s="5"/>
      <c r="F208" s="9"/>
      <c r="G208" s="9"/>
      <c r="H208" s="9"/>
      <c r="I208" s="9"/>
      <c r="J208" s="9"/>
      <c r="K208" s="9"/>
      <c r="L208" s="9"/>
      <c r="M208" s="9"/>
      <c r="N208" s="9"/>
      <c r="O208" s="9"/>
      <c r="P208" s="9"/>
      <c r="Q208" s="9"/>
      <c r="R208" s="9"/>
      <c r="S208" s="9"/>
      <c r="T208" s="9"/>
      <c r="U208" s="9"/>
      <c r="V208" s="9"/>
      <c r="W208" s="9"/>
      <c r="X208" s="9"/>
      <c r="Y208" s="9"/>
      <c r="Z208" s="9"/>
      <c r="AA208" s="9"/>
    </row>
    <row r="209" spans="1:27">
      <c r="A209" s="9"/>
      <c r="B209" s="9"/>
      <c r="C209" s="5"/>
      <c r="D209" s="5"/>
      <c r="E209" s="5"/>
      <c r="F209" s="9"/>
      <c r="G209" s="9"/>
      <c r="H209" s="9"/>
      <c r="I209" s="9"/>
      <c r="J209" s="9"/>
      <c r="K209" s="9"/>
      <c r="L209" s="9"/>
      <c r="M209" s="9"/>
      <c r="N209" s="9"/>
      <c r="O209" s="9"/>
      <c r="P209" s="9"/>
      <c r="Q209" s="9"/>
      <c r="R209" s="9"/>
      <c r="S209" s="9"/>
      <c r="T209" s="9"/>
      <c r="U209" s="9"/>
      <c r="V209" s="9"/>
      <c r="W209" s="9"/>
      <c r="X209" s="9"/>
      <c r="Y209" s="9"/>
      <c r="Z209" s="9"/>
      <c r="AA209" s="9"/>
    </row>
    <row r="210" spans="1:27">
      <c r="A210" s="9"/>
      <c r="B210" s="9"/>
      <c r="C210" s="5"/>
      <c r="D210" s="5"/>
      <c r="E210" s="5"/>
      <c r="F210" s="9"/>
      <c r="G210" s="9"/>
      <c r="H210" s="9"/>
      <c r="I210" s="9"/>
      <c r="J210" s="9"/>
      <c r="K210" s="9"/>
      <c r="L210" s="9"/>
      <c r="M210" s="9"/>
      <c r="N210" s="9"/>
      <c r="O210" s="9"/>
      <c r="P210" s="9"/>
      <c r="Q210" s="9"/>
      <c r="R210" s="9"/>
      <c r="S210" s="9"/>
      <c r="T210" s="9"/>
      <c r="U210" s="9"/>
      <c r="V210" s="9"/>
      <c r="W210" s="9"/>
      <c r="X210" s="9"/>
      <c r="Y210" s="9"/>
      <c r="Z210" s="9"/>
      <c r="AA210" s="9"/>
    </row>
    <row r="211" spans="1:27">
      <c r="A211" s="9"/>
      <c r="B211" s="9"/>
      <c r="C211" s="5"/>
      <c r="D211" s="5"/>
      <c r="E211" s="5"/>
      <c r="F211" s="9"/>
      <c r="G211" s="9"/>
      <c r="H211" s="9"/>
      <c r="I211" s="9"/>
      <c r="J211" s="9"/>
      <c r="K211" s="9"/>
      <c r="L211" s="9"/>
      <c r="M211" s="9"/>
      <c r="N211" s="9"/>
      <c r="O211" s="9"/>
      <c r="P211" s="9"/>
      <c r="Q211" s="9"/>
      <c r="R211" s="9"/>
      <c r="S211" s="9"/>
      <c r="T211" s="9"/>
      <c r="U211" s="9"/>
      <c r="V211" s="9"/>
      <c r="W211" s="9"/>
      <c r="X211" s="9"/>
      <c r="Y211" s="9"/>
      <c r="Z211" s="9"/>
      <c r="AA211" s="9"/>
    </row>
    <row r="212" spans="1:27">
      <c r="A212" s="9"/>
      <c r="B212" s="9"/>
      <c r="C212" s="5"/>
      <c r="D212" s="5"/>
      <c r="E212" s="5"/>
      <c r="F212" s="9"/>
      <c r="G212" s="9"/>
      <c r="H212" s="9"/>
      <c r="I212" s="9"/>
      <c r="J212" s="9"/>
      <c r="K212" s="9"/>
      <c r="L212" s="9"/>
      <c r="M212" s="9"/>
      <c r="N212" s="9"/>
      <c r="O212" s="9"/>
      <c r="P212" s="9"/>
      <c r="Q212" s="9"/>
      <c r="R212" s="9"/>
      <c r="S212" s="9"/>
      <c r="T212" s="9"/>
      <c r="U212" s="9"/>
      <c r="V212" s="9"/>
      <c r="W212" s="9"/>
      <c r="X212" s="9"/>
      <c r="Y212" s="9"/>
      <c r="Z212" s="9"/>
      <c r="AA212" s="9"/>
    </row>
    <row r="213" spans="1:27">
      <c r="A213" s="9"/>
      <c r="B213" s="9"/>
      <c r="C213" s="5"/>
      <c r="D213" s="5"/>
      <c r="E213" s="5"/>
      <c r="F213" s="9"/>
      <c r="G213" s="9"/>
      <c r="H213" s="9"/>
      <c r="I213" s="9"/>
      <c r="J213" s="9"/>
      <c r="K213" s="9"/>
      <c r="L213" s="9"/>
      <c r="M213" s="9"/>
      <c r="N213" s="9"/>
      <c r="O213" s="9"/>
      <c r="P213" s="9"/>
      <c r="Q213" s="9"/>
      <c r="R213" s="9"/>
      <c r="S213" s="9"/>
      <c r="T213" s="9"/>
      <c r="U213" s="9"/>
      <c r="V213" s="9"/>
      <c r="W213" s="9"/>
      <c r="X213" s="9"/>
      <c r="Y213" s="9"/>
      <c r="Z213" s="9"/>
      <c r="AA213" s="9"/>
    </row>
    <row r="214" spans="1:27">
      <c r="A214" s="9"/>
      <c r="B214" s="9"/>
      <c r="C214" s="5"/>
      <c r="D214" s="5"/>
      <c r="E214" s="5"/>
      <c r="F214" s="9"/>
      <c r="G214" s="9"/>
      <c r="H214" s="9"/>
      <c r="I214" s="9"/>
      <c r="J214" s="9"/>
      <c r="K214" s="9"/>
      <c r="L214" s="9"/>
      <c r="M214" s="9"/>
      <c r="N214" s="9"/>
      <c r="O214" s="9"/>
      <c r="P214" s="9"/>
      <c r="Q214" s="9"/>
      <c r="R214" s="9"/>
      <c r="S214" s="9"/>
      <c r="T214" s="9"/>
      <c r="U214" s="9"/>
      <c r="V214" s="9"/>
      <c r="W214" s="9"/>
      <c r="X214" s="9"/>
      <c r="Y214" s="9"/>
      <c r="Z214" s="9"/>
      <c r="AA214" s="9"/>
    </row>
    <row r="215" spans="1:27">
      <c r="A215" s="9"/>
      <c r="B215" s="9"/>
      <c r="C215" s="5"/>
      <c r="D215" s="5"/>
      <c r="E215" s="5"/>
      <c r="F215" s="9"/>
      <c r="G215" s="9"/>
      <c r="H215" s="9"/>
      <c r="I215" s="9"/>
      <c r="J215" s="9"/>
      <c r="K215" s="9"/>
      <c r="L215" s="9"/>
      <c r="M215" s="9"/>
      <c r="N215" s="9"/>
      <c r="O215" s="9"/>
      <c r="P215" s="9"/>
      <c r="Q215" s="9"/>
      <c r="R215" s="9"/>
      <c r="S215" s="9"/>
      <c r="T215" s="9"/>
      <c r="U215" s="9"/>
      <c r="V215" s="9"/>
      <c r="W215" s="9"/>
      <c r="X215" s="9"/>
      <c r="Y215" s="9"/>
      <c r="Z215" s="9"/>
      <c r="AA215" s="9"/>
    </row>
    <row r="216" spans="1:27">
      <c r="A216" s="9"/>
      <c r="B216" s="9"/>
      <c r="C216" s="5"/>
      <c r="D216" s="5"/>
      <c r="E216" s="5"/>
      <c r="F216" s="9"/>
      <c r="G216" s="9"/>
      <c r="H216" s="9"/>
      <c r="I216" s="9"/>
      <c r="J216" s="9"/>
      <c r="K216" s="9"/>
      <c r="L216" s="9"/>
      <c r="M216" s="9"/>
      <c r="N216" s="9"/>
      <c r="O216" s="9"/>
      <c r="P216" s="9"/>
      <c r="Q216" s="9"/>
      <c r="R216" s="9"/>
      <c r="S216" s="9"/>
      <c r="T216" s="9"/>
      <c r="U216" s="9"/>
      <c r="V216" s="9"/>
      <c r="W216" s="9"/>
      <c r="X216" s="9"/>
      <c r="Y216" s="9"/>
      <c r="Z216" s="9"/>
      <c r="AA216" s="9"/>
    </row>
    <row r="217" spans="1:27">
      <c r="A217" s="9"/>
      <c r="B217" s="9"/>
      <c r="C217" s="5"/>
      <c r="D217" s="5"/>
      <c r="E217" s="5"/>
      <c r="F217" s="9"/>
      <c r="G217" s="9"/>
      <c r="H217" s="9"/>
      <c r="I217" s="9"/>
      <c r="J217" s="9"/>
      <c r="K217" s="9"/>
      <c r="L217" s="9"/>
      <c r="M217" s="9"/>
      <c r="N217" s="9"/>
      <c r="O217" s="9"/>
      <c r="P217" s="9"/>
      <c r="Q217" s="9"/>
      <c r="R217" s="9"/>
      <c r="S217" s="9"/>
      <c r="T217" s="9"/>
      <c r="U217" s="9"/>
      <c r="V217" s="9"/>
      <c r="W217" s="9"/>
      <c r="X217" s="9"/>
      <c r="Y217" s="9"/>
      <c r="Z217" s="9"/>
      <c r="AA217" s="9"/>
    </row>
    <row r="218" spans="1:27">
      <c r="A218" s="9"/>
      <c r="B218" s="9"/>
      <c r="C218" s="5"/>
      <c r="D218" s="5"/>
      <c r="E218" s="5"/>
      <c r="F218" s="9"/>
      <c r="G218" s="9"/>
      <c r="H218" s="9"/>
      <c r="I218" s="9"/>
      <c r="J218" s="9"/>
      <c r="K218" s="9"/>
      <c r="L218" s="9"/>
      <c r="M218" s="9"/>
      <c r="N218" s="9"/>
      <c r="O218" s="9"/>
      <c r="P218" s="9"/>
      <c r="Q218" s="9"/>
      <c r="R218" s="9"/>
      <c r="S218" s="9"/>
      <c r="T218" s="9"/>
      <c r="U218" s="9"/>
      <c r="V218" s="9"/>
      <c r="W218" s="9"/>
      <c r="X218" s="9"/>
      <c r="Y218" s="9"/>
      <c r="Z218" s="9"/>
      <c r="AA218" s="9"/>
    </row>
    <row r="219" spans="1:27">
      <c r="A219" s="9"/>
      <c r="B219" s="9"/>
      <c r="C219" s="5"/>
      <c r="D219" s="5"/>
      <c r="E219" s="5"/>
      <c r="F219" s="9"/>
      <c r="G219" s="9"/>
      <c r="H219" s="9"/>
      <c r="I219" s="9"/>
      <c r="J219" s="9"/>
      <c r="K219" s="9"/>
      <c r="L219" s="9"/>
      <c r="M219" s="9"/>
      <c r="N219" s="9"/>
      <c r="O219" s="9"/>
      <c r="P219" s="9"/>
      <c r="Q219" s="9"/>
      <c r="R219" s="9"/>
      <c r="S219" s="9"/>
      <c r="T219" s="9"/>
      <c r="U219" s="9"/>
      <c r="V219" s="9"/>
      <c r="W219" s="9"/>
      <c r="X219" s="9"/>
      <c r="Y219" s="9"/>
      <c r="Z219" s="9"/>
      <c r="AA219" s="9"/>
    </row>
    <row r="220" spans="1:27">
      <c r="A220" s="9"/>
      <c r="B220" s="9"/>
      <c r="C220" s="5"/>
      <c r="D220" s="5"/>
      <c r="E220" s="5"/>
      <c r="F220" s="9"/>
      <c r="G220" s="9"/>
      <c r="H220" s="9"/>
      <c r="I220" s="9"/>
      <c r="J220" s="9"/>
      <c r="K220" s="9"/>
      <c r="L220" s="9"/>
      <c r="M220" s="9"/>
      <c r="N220" s="9"/>
      <c r="O220" s="9"/>
      <c r="P220" s="9"/>
      <c r="Q220" s="9"/>
      <c r="R220" s="9"/>
      <c r="S220" s="9"/>
      <c r="T220" s="9"/>
      <c r="U220" s="9"/>
      <c r="V220" s="9"/>
      <c r="W220" s="9"/>
      <c r="X220" s="9"/>
      <c r="Y220" s="9"/>
      <c r="Z220" s="9"/>
      <c r="AA220" s="9"/>
    </row>
    <row r="221" spans="1:27">
      <c r="A221" s="9"/>
      <c r="B221" s="9"/>
      <c r="C221" s="5"/>
      <c r="D221" s="5"/>
      <c r="E221" s="5"/>
      <c r="F221" s="9"/>
      <c r="G221" s="9"/>
      <c r="H221" s="9"/>
      <c r="I221" s="9"/>
      <c r="J221" s="9"/>
      <c r="K221" s="9"/>
      <c r="L221" s="9"/>
      <c r="M221" s="9"/>
      <c r="N221" s="9"/>
      <c r="O221" s="9"/>
      <c r="P221" s="9"/>
      <c r="Q221" s="9"/>
      <c r="R221" s="9"/>
      <c r="S221" s="9"/>
      <c r="T221" s="9"/>
      <c r="U221" s="9"/>
      <c r="V221" s="9"/>
      <c r="W221" s="9"/>
      <c r="X221" s="9"/>
      <c r="Y221" s="9"/>
      <c r="Z221" s="9"/>
      <c r="AA221" s="9"/>
    </row>
    <row r="222" spans="1:27">
      <c r="A222" s="9"/>
      <c r="B222" s="9"/>
      <c r="C222" s="5"/>
      <c r="D222" s="5"/>
      <c r="E222" s="5"/>
      <c r="F222" s="9"/>
      <c r="G222" s="9"/>
      <c r="H222" s="9"/>
      <c r="I222" s="9"/>
      <c r="J222" s="9"/>
      <c r="K222" s="9"/>
      <c r="L222" s="9"/>
      <c r="M222" s="9"/>
      <c r="N222" s="9"/>
      <c r="O222" s="9"/>
      <c r="P222" s="9"/>
      <c r="Q222" s="9"/>
      <c r="R222" s="9"/>
      <c r="S222" s="9"/>
      <c r="T222" s="9"/>
      <c r="U222" s="9"/>
      <c r="V222" s="9"/>
      <c r="W222" s="9"/>
      <c r="X222" s="9"/>
      <c r="Y222" s="9"/>
      <c r="Z222" s="9"/>
      <c r="AA222" s="9"/>
    </row>
    <row r="223" spans="1:27">
      <c r="A223" s="9"/>
      <c r="B223" s="9"/>
      <c r="C223" s="5"/>
      <c r="D223" s="5"/>
      <c r="E223" s="5"/>
      <c r="F223" s="9"/>
      <c r="G223" s="9"/>
      <c r="H223" s="9"/>
      <c r="I223" s="9"/>
      <c r="J223" s="9"/>
      <c r="K223" s="9"/>
      <c r="L223" s="9"/>
      <c r="M223" s="9"/>
      <c r="N223" s="9"/>
      <c r="O223" s="9"/>
      <c r="P223" s="9"/>
      <c r="Q223" s="9"/>
      <c r="R223" s="9"/>
      <c r="S223" s="9"/>
      <c r="T223" s="9"/>
      <c r="U223" s="9"/>
      <c r="V223" s="9"/>
      <c r="W223" s="9"/>
      <c r="X223" s="9"/>
      <c r="Y223" s="9"/>
      <c r="Z223" s="9"/>
      <c r="AA223" s="9"/>
    </row>
    <row r="224" spans="1:27">
      <c r="A224" s="9"/>
      <c r="B224" s="9"/>
      <c r="C224" s="5"/>
      <c r="D224" s="5"/>
      <c r="E224" s="5"/>
      <c r="F224" s="9"/>
      <c r="G224" s="9"/>
      <c r="H224" s="9"/>
      <c r="I224" s="9"/>
      <c r="J224" s="9"/>
      <c r="K224" s="9"/>
      <c r="L224" s="9"/>
      <c r="M224" s="9"/>
      <c r="N224" s="9"/>
      <c r="O224" s="9"/>
      <c r="P224" s="9"/>
      <c r="Q224" s="9"/>
      <c r="R224" s="9"/>
      <c r="S224" s="9"/>
      <c r="T224" s="9"/>
      <c r="U224" s="9"/>
      <c r="V224" s="9"/>
      <c r="W224" s="9"/>
      <c r="X224" s="9"/>
      <c r="Y224" s="9"/>
      <c r="Z224" s="9"/>
      <c r="AA224" s="9"/>
    </row>
    <row r="225" spans="1:27">
      <c r="A225" s="9"/>
      <c r="B225" s="9"/>
      <c r="C225" s="5"/>
      <c r="D225" s="5"/>
      <c r="E225" s="5"/>
      <c r="F225" s="9"/>
      <c r="G225" s="9"/>
      <c r="H225" s="9"/>
      <c r="I225" s="9"/>
      <c r="J225" s="9"/>
      <c r="K225" s="9"/>
      <c r="L225" s="9"/>
      <c r="M225" s="9"/>
      <c r="N225" s="9"/>
      <c r="O225" s="9"/>
      <c r="P225" s="9"/>
      <c r="Q225" s="9"/>
      <c r="R225" s="9"/>
      <c r="S225" s="9"/>
      <c r="T225" s="9"/>
      <c r="U225" s="9"/>
      <c r="V225" s="9"/>
      <c r="W225" s="9"/>
      <c r="X225" s="9"/>
      <c r="Y225" s="9"/>
      <c r="Z225" s="9"/>
      <c r="AA225" s="9"/>
    </row>
    <row r="226" spans="1:27">
      <c r="A226" s="9"/>
      <c r="B226" s="9"/>
      <c r="C226" s="5"/>
      <c r="D226" s="5"/>
      <c r="E226" s="5"/>
      <c r="F226" s="9"/>
      <c r="G226" s="9"/>
      <c r="H226" s="9"/>
      <c r="I226" s="9"/>
      <c r="J226" s="9"/>
      <c r="K226" s="9"/>
      <c r="L226" s="9"/>
      <c r="M226" s="9"/>
      <c r="N226" s="9"/>
      <c r="O226" s="9"/>
      <c r="P226" s="9"/>
      <c r="Q226" s="9"/>
      <c r="R226" s="9"/>
      <c r="S226" s="9"/>
      <c r="T226" s="9"/>
      <c r="U226" s="9"/>
      <c r="V226" s="9"/>
      <c r="W226" s="9"/>
      <c r="X226" s="9"/>
      <c r="Y226" s="9"/>
      <c r="Z226" s="9"/>
      <c r="AA226" s="9"/>
    </row>
    <row r="227" spans="1:27">
      <c r="A227" s="9"/>
      <c r="B227" s="9"/>
      <c r="C227" s="5"/>
      <c r="D227" s="5"/>
      <c r="E227" s="5"/>
      <c r="F227" s="9"/>
      <c r="G227" s="9"/>
      <c r="H227" s="9"/>
      <c r="I227" s="9"/>
      <c r="J227" s="9"/>
      <c r="K227" s="9"/>
      <c r="L227" s="9"/>
      <c r="M227" s="9"/>
      <c r="N227" s="9"/>
      <c r="O227" s="9"/>
      <c r="P227" s="9"/>
      <c r="Q227" s="9"/>
      <c r="R227" s="9"/>
      <c r="S227" s="9"/>
      <c r="T227" s="9"/>
      <c r="U227" s="9"/>
      <c r="V227" s="9"/>
      <c r="W227" s="9"/>
      <c r="X227" s="9"/>
      <c r="Y227" s="9"/>
      <c r="Z227" s="9"/>
      <c r="AA227" s="9"/>
    </row>
    <row r="228" spans="1:27">
      <c r="A228" s="9"/>
      <c r="B228" s="9"/>
      <c r="C228" s="5"/>
      <c r="D228" s="5"/>
      <c r="E228" s="5"/>
      <c r="F228" s="9"/>
      <c r="G228" s="9"/>
      <c r="H228" s="9"/>
      <c r="I228" s="9"/>
      <c r="J228" s="9"/>
      <c r="K228" s="9"/>
      <c r="L228" s="9"/>
      <c r="M228" s="9"/>
      <c r="N228" s="9"/>
      <c r="O228" s="9"/>
      <c r="P228" s="9"/>
      <c r="Q228" s="9"/>
      <c r="R228" s="9"/>
      <c r="S228" s="9"/>
      <c r="T228" s="9"/>
      <c r="U228" s="9"/>
      <c r="V228" s="9"/>
      <c r="W228" s="9"/>
      <c r="X228" s="9"/>
      <c r="Y228" s="9"/>
      <c r="Z228" s="9"/>
      <c r="AA228" s="9"/>
    </row>
    <row r="229" spans="1:27">
      <c r="A229" s="9"/>
      <c r="B229" s="9"/>
      <c r="C229" s="5"/>
      <c r="D229" s="5"/>
      <c r="E229" s="5"/>
      <c r="F229" s="9"/>
      <c r="G229" s="9"/>
      <c r="H229" s="9"/>
      <c r="I229" s="9"/>
      <c r="J229" s="9"/>
      <c r="K229" s="9"/>
      <c r="L229" s="9"/>
      <c r="M229" s="9"/>
      <c r="N229" s="9"/>
      <c r="O229" s="9"/>
      <c r="P229" s="9"/>
      <c r="Q229" s="9"/>
      <c r="R229" s="9"/>
      <c r="S229" s="9"/>
      <c r="T229" s="9"/>
      <c r="U229" s="9"/>
      <c r="V229" s="9"/>
      <c r="W229" s="9"/>
      <c r="X229" s="9"/>
      <c r="Y229" s="9"/>
      <c r="Z229" s="9"/>
      <c r="AA229" s="9"/>
    </row>
    <row r="230" spans="1:27">
      <c r="A230" s="9"/>
      <c r="B230" s="9"/>
      <c r="C230" s="5"/>
      <c r="D230" s="5"/>
      <c r="E230" s="5"/>
      <c r="F230" s="9"/>
      <c r="G230" s="9"/>
      <c r="H230" s="9"/>
      <c r="I230" s="9"/>
      <c r="J230" s="9"/>
      <c r="K230" s="9"/>
      <c r="L230" s="9"/>
      <c r="M230" s="9"/>
      <c r="N230" s="9"/>
      <c r="O230" s="9"/>
      <c r="P230" s="9"/>
      <c r="Q230" s="9"/>
      <c r="R230" s="9"/>
      <c r="S230" s="9"/>
      <c r="T230" s="9"/>
      <c r="U230" s="9"/>
      <c r="V230" s="9"/>
      <c r="W230" s="9"/>
      <c r="X230" s="9"/>
      <c r="Y230" s="9"/>
      <c r="Z230" s="9"/>
      <c r="AA230" s="9"/>
    </row>
    <row r="231" spans="1:27">
      <c r="A231" s="9"/>
      <c r="B231" s="9"/>
      <c r="C231" s="5"/>
      <c r="D231" s="5"/>
      <c r="E231" s="5"/>
      <c r="F231" s="9"/>
      <c r="G231" s="9"/>
      <c r="H231" s="9"/>
      <c r="I231" s="9"/>
      <c r="J231" s="9"/>
      <c r="K231" s="9"/>
      <c r="L231" s="9"/>
      <c r="M231" s="9"/>
      <c r="N231" s="9"/>
      <c r="O231" s="9"/>
      <c r="P231" s="9"/>
      <c r="Q231" s="9"/>
      <c r="R231" s="9"/>
      <c r="S231" s="9"/>
      <c r="T231" s="9"/>
      <c r="U231" s="9"/>
      <c r="V231" s="9"/>
      <c r="W231" s="9"/>
      <c r="X231" s="9"/>
      <c r="Y231" s="9"/>
      <c r="Z231" s="9"/>
      <c r="AA231" s="9"/>
    </row>
    <row r="232" spans="1:27">
      <c r="A232" s="9"/>
      <c r="B232" s="9"/>
      <c r="C232" s="5"/>
      <c r="D232" s="5"/>
      <c r="E232" s="5"/>
      <c r="F232" s="9"/>
      <c r="G232" s="9"/>
      <c r="H232" s="9"/>
      <c r="I232" s="9"/>
      <c r="J232" s="9"/>
      <c r="K232" s="9"/>
      <c r="L232" s="9"/>
      <c r="M232" s="9"/>
      <c r="N232" s="9"/>
      <c r="O232" s="9"/>
      <c r="P232" s="9"/>
      <c r="Q232" s="9"/>
      <c r="R232" s="9"/>
      <c r="S232" s="9"/>
      <c r="T232" s="9"/>
      <c r="U232" s="9"/>
      <c r="V232" s="9"/>
      <c r="W232" s="9"/>
      <c r="X232" s="9"/>
      <c r="Y232" s="9"/>
      <c r="Z232" s="9"/>
      <c r="AA232" s="9"/>
    </row>
    <row r="233" spans="1:27">
      <c r="A233" s="9"/>
      <c r="B233" s="9"/>
      <c r="C233" s="5"/>
      <c r="D233" s="5"/>
      <c r="E233" s="5"/>
      <c r="F233" s="9"/>
      <c r="G233" s="9"/>
      <c r="H233" s="9"/>
      <c r="I233" s="9"/>
      <c r="J233" s="9"/>
      <c r="K233" s="9"/>
      <c r="L233" s="9"/>
      <c r="M233" s="9"/>
      <c r="N233" s="9"/>
      <c r="O233" s="9"/>
      <c r="P233" s="9"/>
      <c r="Q233" s="9"/>
      <c r="R233" s="9"/>
      <c r="S233" s="9"/>
      <c r="T233" s="9"/>
      <c r="U233" s="9"/>
      <c r="V233" s="9"/>
      <c r="W233" s="9"/>
      <c r="X233" s="9"/>
      <c r="Y233" s="9"/>
      <c r="Z233" s="9"/>
      <c r="AA233" s="9"/>
    </row>
    <row r="234" spans="1:27">
      <c r="A234" s="9"/>
      <c r="B234" s="9"/>
      <c r="C234" s="5"/>
      <c r="D234" s="5"/>
      <c r="E234" s="5"/>
      <c r="F234" s="9"/>
      <c r="G234" s="9"/>
      <c r="H234" s="9"/>
      <c r="I234" s="9"/>
      <c r="J234" s="9"/>
      <c r="K234" s="9"/>
      <c r="L234" s="9"/>
      <c r="M234" s="9"/>
      <c r="N234" s="9"/>
      <c r="O234" s="9"/>
      <c r="P234" s="9"/>
      <c r="Q234" s="9"/>
      <c r="R234" s="9"/>
      <c r="S234" s="9"/>
      <c r="T234" s="9"/>
      <c r="U234" s="9"/>
      <c r="V234" s="9"/>
      <c r="W234" s="9"/>
      <c r="X234" s="9"/>
      <c r="Y234" s="9"/>
      <c r="Z234" s="9"/>
      <c r="AA234" s="9"/>
    </row>
    <row r="235" spans="1:27">
      <c r="A235" s="9"/>
      <c r="B235" s="9"/>
      <c r="C235" s="5"/>
      <c r="D235" s="5"/>
      <c r="E235" s="5"/>
      <c r="F235" s="9"/>
      <c r="G235" s="9"/>
      <c r="H235" s="9"/>
      <c r="I235" s="9"/>
      <c r="J235" s="9"/>
      <c r="K235" s="9"/>
      <c r="L235" s="9"/>
      <c r="M235" s="9"/>
      <c r="N235" s="9"/>
      <c r="O235" s="9"/>
      <c r="P235" s="9"/>
      <c r="Q235" s="9"/>
      <c r="R235" s="9"/>
      <c r="S235" s="9"/>
      <c r="T235" s="9"/>
      <c r="U235" s="9"/>
      <c r="V235" s="9"/>
      <c r="W235" s="9"/>
      <c r="X235" s="9"/>
      <c r="Y235" s="9"/>
      <c r="Z235" s="9"/>
      <c r="AA235" s="9"/>
    </row>
    <row r="236" spans="1:27">
      <c r="A236" s="9"/>
      <c r="B236" s="9"/>
      <c r="C236" s="5"/>
      <c r="D236" s="5"/>
      <c r="E236" s="5"/>
      <c r="F236" s="9"/>
      <c r="G236" s="9"/>
      <c r="H236" s="9"/>
      <c r="I236" s="9"/>
      <c r="J236" s="9"/>
      <c r="K236" s="9"/>
      <c r="L236" s="9"/>
      <c r="M236" s="9"/>
      <c r="N236" s="9"/>
      <c r="O236" s="9"/>
      <c r="P236" s="9"/>
      <c r="Q236" s="9"/>
      <c r="R236" s="9"/>
      <c r="S236" s="9"/>
      <c r="T236" s="9"/>
      <c r="U236" s="9"/>
      <c r="V236" s="9"/>
      <c r="W236" s="9"/>
      <c r="X236" s="9"/>
      <c r="Y236" s="9"/>
      <c r="Z236" s="9"/>
      <c r="AA236" s="9"/>
    </row>
    <row r="237" spans="1:27">
      <c r="A237" s="9"/>
      <c r="B237" s="9"/>
      <c r="C237" s="5"/>
      <c r="D237" s="5"/>
      <c r="E237" s="5"/>
      <c r="F237" s="9"/>
      <c r="G237" s="9"/>
      <c r="H237" s="9"/>
      <c r="I237" s="9"/>
      <c r="J237" s="9"/>
      <c r="K237" s="9"/>
      <c r="L237" s="9"/>
      <c r="M237" s="9"/>
      <c r="N237" s="9"/>
      <c r="O237" s="9"/>
      <c r="P237" s="9"/>
      <c r="Q237" s="9"/>
      <c r="R237" s="9"/>
      <c r="S237" s="9"/>
      <c r="T237" s="9"/>
      <c r="U237" s="9"/>
      <c r="V237" s="9"/>
      <c r="W237" s="9"/>
      <c r="X237" s="9"/>
      <c r="Y237" s="9"/>
      <c r="Z237" s="9"/>
      <c r="AA237" s="9"/>
    </row>
    <row r="238" spans="1:27">
      <c r="A238" s="9"/>
      <c r="B238" s="9"/>
      <c r="C238" s="5"/>
      <c r="D238" s="5"/>
      <c r="E238" s="5"/>
      <c r="F238" s="9"/>
      <c r="G238" s="9"/>
      <c r="H238" s="9"/>
      <c r="I238" s="9"/>
      <c r="J238" s="9"/>
      <c r="K238" s="9"/>
      <c r="L238" s="9"/>
      <c r="M238" s="9"/>
      <c r="N238" s="9"/>
      <c r="O238" s="9"/>
      <c r="P238" s="9"/>
      <c r="Q238" s="9"/>
      <c r="R238" s="9"/>
      <c r="S238" s="9"/>
      <c r="T238" s="9"/>
      <c r="U238" s="9"/>
      <c r="V238" s="9"/>
      <c r="W238" s="9"/>
      <c r="X238" s="9"/>
      <c r="Y238" s="9"/>
      <c r="Z238" s="9"/>
      <c r="AA238" s="9"/>
    </row>
    <row r="239" spans="1:27">
      <c r="A239" s="9"/>
      <c r="B239" s="9"/>
      <c r="C239" s="5"/>
      <c r="D239" s="5"/>
      <c r="E239" s="5"/>
      <c r="F239" s="9"/>
      <c r="G239" s="9"/>
      <c r="H239" s="9"/>
      <c r="I239" s="9"/>
      <c r="J239" s="9"/>
      <c r="K239" s="9"/>
      <c r="L239" s="9"/>
      <c r="M239" s="9"/>
      <c r="N239" s="9"/>
      <c r="O239" s="9"/>
      <c r="P239" s="9"/>
      <c r="Q239" s="9"/>
      <c r="R239" s="9"/>
      <c r="S239" s="9"/>
      <c r="T239" s="9"/>
      <c r="U239" s="9"/>
      <c r="V239" s="9"/>
      <c r="W239" s="9"/>
      <c r="X239" s="9"/>
      <c r="Y239" s="9"/>
      <c r="Z239" s="9"/>
      <c r="AA239" s="9"/>
    </row>
    <row r="240" spans="1:27">
      <c r="A240" s="9"/>
      <c r="B240" s="9"/>
      <c r="C240" s="5"/>
      <c r="D240" s="5"/>
      <c r="E240" s="5"/>
      <c r="F240" s="9"/>
      <c r="G240" s="9"/>
      <c r="H240" s="9"/>
      <c r="I240" s="9"/>
      <c r="J240" s="9"/>
      <c r="K240" s="9"/>
      <c r="L240" s="9"/>
      <c r="M240" s="9"/>
      <c r="N240" s="9"/>
      <c r="O240" s="9"/>
      <c r="P240" s="9"/>
      <c r="Q240" s="9"/>
      <c r="R240" s="9"/>
      <c r="S240" s="9"/>
      <c r="T240" s="9"/>
      <c r="U240" s="9"/>
      <c r="V240" s="9"/>
      <c r="W240" s="9"/>
      <c r="X240" s="9"/>
      <c r="Y240" s="9"/>
      <c r="Z240" s="9"/>
      <c r="AA240" s="9"/>
    </row>
    <row r="241" spans="1:27">
      <c r="A241" s="9"/>
      <c r="B241" s="9"/>
      <c r="C241" s="5"/>
      <c r="D241" s="5"/>
      <c r="E241" s="5"/>
      <c r="F241" s="9"/>
      <c r="G241" s="9"/>
      <c r="H241" s="9"/>
      <c r="I241" s="9"/>
      <c r="J241" s="9"/>
      <c r="K241" s="9"/>
      <c r="L241" s="9"/>
      <c r="M241" s="9"/>
      <c r="N241" s="9"/>
      <c r="O241" s="9"/>
      <c r="P241" s="9"/>
      <c r="Q241" s="9"/>
      <c r="R241" s="9"/>
      <c r="S241" s="9"/>
      <c r="T241" s="9"/>
      <c r="U241" s="9"/>
      <c r="V241" s="9"/>
      <c r="W241" s="9"/>
      <c r="X241" s="9"/>
      <c r="Y241" s="9"/>
      <c r="Z241" s="9"/>
      <c r="AA241" s="9"/>
    </row>
    <row r="242" spans="1:27">
      <c r="A242" s="9"/>
      <c r="B242" s="9"/>
      <c r="C242" s="5"/>
      <c r="D242" s="5"/>
      <c r="E242" s="5"/>
      <c r="F242" s="9"/>
      <c r="G242" s="9"/>
      <c r="H242" s="9"/>
      <c r="I242" s="9"/>
      <c r="J242" s="9"/>
      <c r="K242" s="9"/>
      <c r="L242" s="9"/>
      <c r="M242" s="9"/>
      <c r="N242" s="9"/>
      <c r="O242" s="9"/>
      <c r="P242" s="9"/>
      <c r="Q242" s="9"/>
      <c r="R242" s="9"/>
      <c r="S242" s="9"/>
      <c r="T242" s="9"/>
      <c r="U242" s="9"/>
      <c r="V242" s="9"/>
      <c r="W242" s="9"/>
      <c r="X242" s="9"/>
      <c r="Y242" s="9"/>
      <c r="Z242" s="9"/>
      <c r="AA242" s="9"/>
    </row>
    <row r="243" spans="1:27">
      <c r="A243" s="9"/>
      <c r="B243" s="9"/>
      <c r="C243" s="5"/>
      <c r="D243" s="5"/>
      <c r="E243" s="5"/>
      <c r="F243" s="9"/>
      <c r="G243" s="9"/>
      <c r="H243" s="9"/>
      <c r="I243" s="9"/>
      <c r="J243" s="9"/>
      <c r="K243" s="9"/>
      <c r="L243" s="9"/>
      <c r="M243" s="9"/>
      <c r="N243" s="9"/>
      <c r="O243" s="9"/>
      <c r="P243" s="9"/>
      <c r="Q243" s="9"/>
      <c r="R243" s="9"/>
      <c r="S243" s="9"/>
      <c r="T243" s="9"/>
      <c r="U243" s="9"/>
      <c r="V243" s="9"/>
      <c r="W243" s="9"/>
      <c r="X243" s="9"/>
      <c r="Y243" s="9"/>
      <c r="Z243" s="9"/>
      <c r="AA243" s="9"/>
    </row>
    <row r="244" spans="1:27">
      <c r="A244" s="9"/>
      <c r="B244" s="9"/>
      <c r="C244" s="5"/>
      <c r="D244" s="5"/>
      <c r="E244" s="5"/>
      <c r="F244" s="9"/>
      <c r="G244" s="9"/>
      <c r="H244" s="9"/>
      <c r="I244" s="9"/>
      <c r="J244" s="9"/>
      <c r="K244" s="9"/>
      <c r="L244" s="9"/>
      <c r="M244" s="9"/>
      <c r="N244" s="9"/>
      <c r="O244" s="9"/>
      <c r="P244" s="9"/>
      <c r="Q244" s="9"/>
      <c r="R244" s="9"/>
      <c r="S244" s="9"/>
      <c r="T244" s="9"/>
      <c r="U244" s="9"/>
      <c r="V244" s="9"/>
      <c r="W244" s="9"/>
      <c r="X244" s="9"/>
      <c r="Y244" s="9"/>
      <c r="Z244" s="9"/>
      <c r="AA244" s="9"/>
    </row>
    <row r="245" spans="1:27">
      <c r="A245" s="9"/>
      <c r="B245" s="9"/>
      <c r="C245" s="5"/>
      <c r="D245" s="5"/>
      <c r="E245" s="5"/>
      <c r="F245" s="9"/>
      <c r="G245" s="9"/>
      <c r="H245" s="9"/>
      <c r="I245" s="9"/>
      <c r="J245" s="9"/>
      <c r="K245" s="9"/>
      <c r="L245" s="9"/>
      <c r="M245" s="9"/>
      <c r="N245" s="9"/>
      <c r="O245" s="9"/>
      <c r="P245" s="9"/>
      <c r="Q245" s="9"/>
      <c r="R245" s="9"/>
      <c r="S245" s="9"/>
      <c r="T245" s="9"/>
      <c r="U245" s="9"/>
      <c r="V245" s="9"/>
      <c r="W245" s="9"/>
      <c r="X245" s="9"/>
      <c r="Y245" s="9"/>
      <c r="Z245" s="9"/>
      <c r="AA245" s="9"/>
    </row>
    <row r="246" spans="1:27">
      <c r="A246" s="9"/>
      <c r="B246" s="9"/>
      <c r="C246" s="5"/>
      <c r="D246" s="5"/>
      <c r="E246" s="5"/>
      <c r="F246" s="9"/>
      <c r="G246" s="9"/>
      <c r="H246" s="9"/>
      <c r="I246" s="9"/>
      <c r="J246" s="9"/>
      <c r="K246" s="9"/>
      <c r="L246" s="9"/>
      <c r="M246" s="9"/>
      <c r="N246" s="9"/>
      <c r="O246" s="9"/>
      <c r="P246" s="9"/>
      <c r="Q246" s="9"/>
      <c r="R246" s="9"/>
      <c r="S246" s="9"/>
      <c r="T246" s="9"/>
      <c r="U246" s="9"/>
      <c r="V246" s="9"/>
      <c r="W246" s="9"/>
      <c r="X246" s="9"/>
      <c r="Y246" s="9"/>
      <c r="Z246" s="9"/>
      <c r="AA246" s="9"/>
    </row>
    <row r="247" spans="1:27">
      <c r="A247" s="9"/>
      <c r="B247" s="9"/>
      <c r="C247" s="5"/>
      <c r="D247" s="5"/>
      <c r="E247" s="5"/>
      <c r="F247" s="9"/>
      <c r="G247" s="9"/>
      <c r="H247" s="9"/>
      <c r="I247" s="9"/>
      <c r="J247" s="9"/>
      <c r="K247" s="9"/>
      <c r="L247" s="9"/>
      <c r="M247" s="9"/>
      <c r="N247" s="9"/>
      <c r="O247" s="9"/>
      <c r="P247" s="9"/>
      <c r="Q247" s="9"/>
      <c r="R247" s="9"/>
      <c r="S247" s="9"/>
      <c r="T247" s="9"/>
      <c r="U247" s="9"/>
      <c r="V247" s="9"/>
      <c r="W247" s="9"/>
      <c r="X247" s="9"/>
      <c r="Y247" s="9"/>
      <c r="Z247" s="9"/>
      <c r="AA247" s="9"/>
    </row>
    <row r="248" spans="1:27">
      <c r="A248" s="9"/>
      <c r="B248" s="9"/>
      <c r="C248" s="5"/>
      <c r="D248" s="5"/>
      <c r="E248" s="5"/>
      <c r="F248" s="9"/>
      <c r="G248" s="9"/>
      <c r="H248" s="9"/>
      <c r="I248" s="9"/>
      <c r="J248" s="9"/>
      <c r="K248" s="9"/>
      <c r="L248" s="9"/>
      <c r="M248" s="9"/>
      <c r="N248" s="9"/>
      <c r="O248" s="9"/>
      <c r="P248" s="9"/>
      <c r="Q248" s="9"/>
      <c r="R248" s="9"/>
      <c r="S248" s="9"/>
      <c r="T248" s="9"/>
      <c r="U248" s="9"/>
      <c r="V248" s="9"/>
      <c r="W248" s="9"/>
      <c r="X248" s="9"/>
      <c r="Y248" s="9"/>
      <c r="Z248" s="9"/>
      <c r="AA248" s="9"/>
    </row>
    <row r="249" spans="1:27">
      <c r="A249" s="9"/>
      <c r="B249" s="9"/>
      <c r="C249" s="5"/>
      <c r="D249" s="5"/>
      <c r="E249" s="5"/>
      <c r="F249" s="9"/>
      <c r="G249" s="9"/>
      <c r="H249" s="9"/>
      <c r="I249" s="9"/>
      <c r="J249" s="9"/>
      <c r="K249" s="9"/>
      <c r="L249" s="9"/>
      <c r="M249" s="9"/>
      <c r="N249" s="9"/>
      <c r="O249" s="9"/>
      <c r="P249" s="9"/>
      <c r="Q249" s="9"/>
      <c r="R249" s="9"/>
      <c r="S249" s="9"/>
      <c r="T249" s="9"/>
      <c r="U249" s="9"/>
      <c r="V249" s="9"/>
      <c r="W249" s="9"/>
      <c r="X249" s="9"/>
      <c r="Y249" s="9"/>
      <c r="Z249" s="9"/>
      <c r="AA249" s="9"/>
    </row>
    <row r="250" spans="1:27">
      <c r="A250" s="9"/>
      <c r="B250" s="9"/>
      <c r="C250" s="5"/>
      <c r="D250" s="5"/>
      <c r="E250" s="5"/>
      <c r="F250" s="9"/>
      <c r="G250" s="9"/>
      <c r="H250" s="9"/>
      <c r="I250" s="9"/>
      <c r="J250" s="9"/>
      <c r="K250" s="9"/>
      <c r="L250" s="9"/>
      <c r="M250" s="9"/>
      <c r="N250" s="9"/>
      <c r="O250" s="9"/>
      <c r="P250" s="9"/>
      <c r="Q250" s="9"/>
      <c r="R250" s="9"/>
      <c r="S250" s="9"/>
      <c r="T250" s="9"/>
      <c r="U250" s="9"/>
      <c r="V250" s="9"/>
      <c r="W250" s="9"/>
      <c r="X250" s="9"/>
      <c r="Y250" s="9"/>
      <c r="Z250" s="9"/>
      <c r="AA250" s="9"/>
    </row>
    <row r="251" spans="1:27">
      <c r="A251" s="9"/>
      <c r="B251" s="9"/>
      <c r="C251" s="5"/>
      <c r="D251" s="5"/>
      <c r="E251" s="5"/>
      <c r="F251" s="9"/>
      <c r="G251" s="9"/>
      <c r="H251" s="9"/>
      <c r="I251" s="9"/>
      <c r="J251" s="9"/>
      <c r="K251" s="9"/>
      <c r="L251" s="9"/>
      <c r="M251" s="9"/>
      <c r="N251" s="9"/>
      <c r="O251" s="9"/>
      <c r="P251" s="9"/>
      <c r="Q251" s="9"/>
      <c r="R251" s="9"/>
      <c r="S251" s="9"/>
      <c r="T251" s="9"/>
      <c r="U251" s="9"/>
      <c r="V251" s="9"/>
      <c r="W251" s="9"/>
      <c r="X251" s="9"/>
      <c r="Y251" s="9"/>
      <c r="Z251" s="9"/>
      <c r="AA251" s="9"/>
    </row>
    <row r="252" spans="1:27">
      <c r="A252" s="9"/>
      <c r="B252" s="9"/>
      <c r="C252" s="5"/>
      <c r="D252" s="5"/>
      <c r="E252" s="5"/>
      <c r="F252" s="9"/>
      <c r="G252" s="9"/>
      <c r="H252" s="9"/>
      <c r="I252" s="9"/>
      <c r="J252" s="9"/>
      <c r="K252" s="9"/>
      <c r="L252" s="9"/>
      <c r="M252" s="9"/>
      <c r="N252" s="9"/>
      <c r="O252" s="9"/>
      <c r="P252" s="9"/>
      <c r="Q252" s="9"/>
      <c r="R252" s="9"/>
      <c r="S252" s="9"/>
      <c r="T252" s="9"/>
      <c r="U252" s="9"/>
      <c r="V252" s="9"/>
      <c r="W252" s="9"/>
      <c r="X252" s="9"/>
      <c r="Y252" s="9"/>
      <c r="Z252" s="9"/>
      <c r="AA252" s="9"/>
    </row>
    <row r="253" spans="1:27">
      <c r="A253" s="9"/>
      <c r="B253" s="9"/>
      <c r="C253" s="5"/>
      <c r="D253" s="5"/>
      <c r="E253" s="5"/>
      <c r="F253" s="9"/>
      <c r="G253" s="9"/>
      <c r="H253" s="9"/>
      <c r="I253" s="9"/>
      <c r="J253" s="9"/>
      <c r="K253" s="9"/>
      <c r="L253" s="9"/>
      <c r="M253" s="9"/>
      <c r="N253" s="9"/>
      <c r="O253" s="9"/>
      <c r="P253" s="9"/>
      <c r="Q253" s="9"/>
      <c r="R253" s="9"/>
      <c r="S253" s="9"/>
      <c r="T253" s="9"/>
      <c r="U253" s="9"/>
      <c r="V253" s="9"/>
      <c r="W253" s="9"/>
      <c r="X253" s="9"/>
      <c r="Y253" s="9"/>
      <c r="Z253" s="9"/>
      <c r="AA253" s="9"/>
    </row>
    <row r="254" spans="1:27">
      <c r="A254" s="9"/>
      <c r="B254" s="9"/>
      <c r="C254" s="5"/>
      <c r="D254" s="5"/>
      <c r="E254" s="5"/>
      <c r="F254" s="9"/>
      <c r="G254" s="9"/>
      <c r="H254" s="9"/>
      <c r="I254" s="9"/>
      <c r="J254" s="9"/>
      <c r="K254" s="9"/>
      <c r="L254" s="9"/>
      <c r="M254" s="9"/>
      <c r="N254" s="9"/>
      <c r="O254" s="9"/>
      <c r="P254" s="9"/>
      <c r="Q254" s="9"/>
      <c r="R254" s="9"/>
      <c r="S254" s="9"/>
      <c r="T254" s="9"/>
      <c r="U254" s="9"/>
      <c r="V254" s="9"/>
      <c r="W254" s="9"/>
      <c r="X254" s="9"/>
      <c r="Y254" s="9"/>
      <c r="Z254" s="9"/>
      <c r="AA254" s="9"/>
    </row>
    <row r="255" spans="1:27">
      <c r="A255" s="9"/>
      <c r="B255" s="9"/>
      <c r="C255" s="5"/>
      <c r="D255" s="5"/>
      <c r="E255" s="5"/>
      <c r="F255" s="9"/>
      <c r="G255" s="9"/>
      <c r="H255" s="9"/>
      <c r="I255" s="9"/>
      <c r="J255" s="9"/>
      <c r="K255" s="9"/>
      <c r="L255" s="9"/>
      <c r="M255" s="9"/>
      <c r="N255" s="9"/>
      <c r="O255" s="9"/>
      <c r="P255" s="9"/>
      <c r="Q255" s="9"/>
      <c r="R255" s="9"/>
      <c r="S255" s="9"/>
      <c r="T255" s="9"/>
      <c r="U255" s="9"/>
      <c r="V255" s="9"/>
      <c r="W255" s="9"/>
      <c r="X255" s="9"/>
      <c r="Y255" s="9"/>
      <c r="Z255" s="9"/>
      <c r="AA255" s="9"/>
    </row>
    <row r="256" spans="1:27">
      <c r="A256" s="9"/>
      <c r="B256" s="9"/>
      <c r="C256" s="5"/>
      <c r="D256" s="5"/>
      <c r="E256" s="5"/>
      <c r="F256" s="9"/>
      <c r="G256" s="9"/>
      <c r="H256" s="9"/>
      <c r="I256" s="9"/>
      <c r="J256" s="9"/>
      <c r="K256" s="9"/>
      <c r="L256" s="9"/>
      <c r="M256" s="9"/>
      <c r="N256" s="9"/>
      <c r="O256" s="9"/>
      <c r="P256" s="9"/>
      <c r="Q256" s="9"/>
      <c r="R256" s="9"/>
      <c r="S256" s="9"/>
      <c r="T256" s="9"/>
      <c r="U256" s="9"/>
      <c r="V256" s="9"/>
      <c r="W256" s="9"/>
      <c r="X256" s="9"/>
      <c r="Y256" s="9"/>
      <c r="Z256" s="9"/>
      <c r="AA256" s="9"/>
    </row>
    <row r="257" spans="1:27">
      <c r="A257" s="9"/>
      <c r="B257" s="9"/>
      <c r="C257" s="5"/>
      <c r="D257" s="5"/>
      <c r="E257" s="5"/>
      <c r="F257" s="9"/>
      <c r="G257" s="9"/>
      <c r="H257" s="9"/>
      <c r="I257" s="9"/>
      <c r="J257" s="9"/>
      <c r="K257" s="9"/>
      <c r="L257" s="9"/>
      <c r="M257" s="9"/>
      <c r="N257" s="9"/>
      <c r="O257" s="9"/>
      <c r="P257" s="9"/>
      <c r="Q257" s="9"/>
      <c r="R257" s="9"/>
      <c r="S257" s="9"/>
      <c r="T257" s="9"/>
      <c r="U257" s="9"/>
      <c r="V257" s="9"/>
      <c r="W257" s="9"/>
      <c r="X257" s="9"/>
      <c r="Y257" s="9"/>
      <c r="Z257" s="9"/>
      <c r="AA257" s="9"/>
    </row>
    <row r="258" spans="1:27">
      <c r="A258" s="9"/>
      <c r="B258" s="9"/>
      <c r="C258" s="5"/>
      <c r="D258" s="5"/>
      <c r="E258" s="5"/>
      <c r="F258" s="9"/>
      <c r="G258" s="9"/>
      <c r="H258" s="9"/>
      <c r="I258" s="9"/>
      <c r="J258" s="9"/>
      <c r="K258" s="9"/>
      <c r="L258" s="9"/>
      <c r="M258" s="9"/>
      <c r="N258" s="9"/>
      <c r="O258" s="9"/>
      <c r="P258" s="9"/>
      <c r="Q258" s="9"/>
      <c r="R258" s="9"/>
      <c r="S258" s="9"/>
      <c r="T258" s="9"/>
      <c r="U258" s="9"/>
      <c r="V258" s="9"/>
      <c r="W258" s="9"/>
      <c r="X258" s="9"/>
      <c r="Y258" s="9"/>
      <c r="Z258" s="9"/>
      <c r="AA258" s="9"/>
    </row>
    <row r="259" spans="1:27">
      <c r="A259" s="9"/>
      <c r="B259" s="9"/>
      <c r="C259" s="5"/>
      <c r="D259" s="5"/>
      <c r="E259" s="5"/>
      <c r="F259" s="9"/>
      <c r="G259" s="9"/>
      <c r="H259" s="9"/>
      <c r="I259" s="9"/>
      <c r="J259" s="9"/>
      <c r="K259" s="9"/>
      <c r="L259" s="9"/>
      <c r="M259" s="9"/>
      <c r="N259" s="9"/>
      <c r="O259" s="9"/>
      <c r="P259" s="9"/>
      <c r="Q259" s="9"/>
      <c r="R259" s="9"/>
      <c r="S259" s="9"/>
      <c r="T259" s="9"/>
      <c r="U259" s="9"/>
      <c r="V259" s="9"/>
      <c r="W259" s="9"/>
      <c r="X259" s="9"/>
      <c r="Y259" s="9"/>
      <c r="Z259" s="9"/>
      <c r="AA259" s="9"/>
    </row>
    <row r="260" spans="1:27">
      <c r="A260" s="9"/>
      <c r="B260" s="9"/>
      <c r="C260" s="5"/>
      <c r="D260" s="5"/>
      <c r="E260" s="5"/>
      <c r="F260" s="9"/>
      <c r="G260" s="9"/>
      <c r="H260" s="9"/>
      <c r="I260" s="9"/>
      <c r="J260" s="9"/>
      <c r="K260" s="9"/>
      <c r="L260" s="9"/>
      <c r="M260" s="9"/>
      <c r="N260" s="9"/>
      <c r="O260" s="9"/>
      <c r="P260" s="9"/>
      <c r="Q260" s="9"/>
      <c r="R260" s="9"/>
      <c r="S260" s="9"/>
      <c r="T260" s="9"/>
      <c r="U260" s="9"/>
      <c r="V260" s="9"/>
      <c r="W260" s="9"/>
      <c r="X260" s="9"/>
      <c r="Y260" s="9"/>
      <c r="Z260" s="9"/>
      <c r="AA260" s="9"/>
    </row>
    <row r="261" spans="1:27">
      <c r="A261" s="9"/>
      <c r="B261" s="9"/>
      <c r="C261" s="5"/>
      <c r="D261" s="5"/>
      <c r="E261" s="5"/>
      <c r="F261" s="9"/>
      <c r="G261" s="9"/>
      <c r="H261" s="9"/>
      <c r="I261" s="9"/>
      <c r="J261" s="9"/>
      <c r="K261" s="9"/>
      <c r="L261" s="9"/>
      <c r="M261" s="9"/>
      <c r="N261" s="9"/>
      <c r="O261" s="9"/>
      <c r="P261" s="9"/>
      <c r="Q261" s="9"/>
      <c r="R261" s="9"/>
      <c r="S261" s="9"/>
      <c r="T261" s="9"/>
      <c r="U261" s="9"/>
      <c r="V261" s="9"/>
      <c r="W261" s="9"/>
      <c r="X261" s="9"/>
      <c r="Y261" s="9"/>
      <c r="Z261" s="9"/>
      <c r="AA261" s="9"/>
    </row>
    <row r="262" spans="1:27">
      <c r="A262" s="9"/>
      <c r="B262" s="9"/>
      <c r="C262" s="5"/>
      <c r="D262" s="5"/>
      <c r="E262" s="5"/>
      <c r="F262" s="9"/>
      <c r="G262" s="9"/>
      <c r="H262" s="9"/>
      <c r="I262" s="9"/>
      <c r="J262" s="9"/>
      <c r="K262" s="9"/>
      <c r="L262" s="9"/>
      <c r="M262" s="9"/>
      <c r="N262" s="9"/>
      <c r="O262" s="9"/>
      <c r="P262" s="9"/>
      <c r="Q262" s="9"/>
      <c r="R262" s="9"/>
      <c r="S262" s="9"/>
      <c r="T262" s="9"/>
      <c r="U262" s="9"/>
      <c r="V262" s="9"/>
      <c r="W262" s="9"/>
      <c r="X262" s="9"/>
      <c r="Y262" s="9"/>
      <c r="Z262" s="9"/>
      <c r="AA262" s="9"/>
    </row>
    <row r="263" spans="1:27">
      <c r="A263" s="9"/>
      <c r="B263" s="9"/>
      <c r="C263" s="5"/>
      <c r="D263" s="5"/>
      <c r="E263" s="5"/>
      <c r="F263" s="9"/>
      <c r="G263" s="9"/>
      <c r="H263" s="9"/>
      <c r="I263" s="9"/>
      <c r="J263" s="9"/>
      <c r="K263" s="9"/>
      <c r="L263" s="9"/>
      <c r="M263" s="9"/>
      <c r="N263" s="9"/>
      <c r="O263" s="9"/>
      <c r="P263" s="9"/>
      <c r="Q263" s="9"/>
      <c r="R263" s="9"/>
      <c r="S263" s="9"/>
      <c r="T263" s="9"/>
      <c r="U263" s="9"/>
      <c r="V263" s="9"/>
      <c r="W263" s="9"/>
      <c r="X263" s="9"/>
      <c r="Y263" s="9"/>
      <c r="Z263" s="9"/>
      <c r="AA263" s="9"/>
    </row>
    <row r="264" spans="1:27">
      <c r="A264" s="9"/>
      <c r="B264" s="9"/>
      <c r="C264" s="5"/>
      <c r="D264" s="5"/>
      <c r="E264" s="5"/>
      <c r="F264" s="9"/>
      <c r="G264" s="9"/>
      <c r="H264" s="9"/>
      <c r="I264" s="9"/>
      <c r="J264" s="9"/>
      <c r="K264" s="9"/>
      <c r="L264" s="9"/>
      <c r="M264" s="9"/>
      <c r="N264" s="9"/>
      <c r="O264" s="9"/>
      <c r="P264" s="9"/>
      <c r="Q264" s="9"/>
      <c r="R264" s="9"/>
      <c r="S264" s="9"/>
      <c r="T264" s="9"/>
      <c r="U264" s="9"/>
      <c r="V264" s="9"/>
      <c r="W264" s="9"/>
      <c r="X264" s="9"/>
      <c r="Y264" s="9"/>
      <c r="Z264" s="9"/>
      <c r="AA264" s="9"/>
    </row>
    <row r="265" spans="1:27">
      <c r="A265" s="9"/>
      <c r="B265" s="9"/>
      <c r="C265" s="5"/>
      <c r="D265" s="5"/>
      <c r="E265" s="5"/>
      <c r="F265" s="9"/>
      <c r="G265" s="9"/>
      <c r="H265" s="9"/>
      <c r="I265" s="9"/>
      <c r="J265" s="9"/>
      <c r="K265" s="9"/>
      <c r="L265" s="9"/>
      <c r="M265" s="9"/>
      <c r="N265" s="9"/>
      <c r="O265" s="9"/>
      <c r="P265" s="9"/>
      <c r="Q265" s="9"/>
      <c r="R265" s="9"/>
      <c r="S265" s="9"/>
      <c r="T265" s="9"/>
      <c r="U265" s="9"/>
      <c r="V265" s="9"/>
      <c r="W265" s="9"/>
      <c r="X265" s="9"/>
      <c r="Y265" s="9"/>
      <c r="Z265" s="9"/>
      <c r="AA265" s="9"/>
    </row>
    <row r="266" spans="1:27">
      <c r="A266" s="9"/>
      <c r="B266" s="9"/>
      <c r="C266" s="5"/>
      <c r="D266" s="5"/>
      <c r="E266" s="5"/>
      <c r="F266" s="9"/>
      <c r="G266" s="9"/>
      <c r="H266" s="9"/>
      <c r="I266" s="9"/>
      <c r="J266" s="9"/>
      <c r="K266" s="9"/>
      <c r="L266" s="9"/>
      <c r="M266" s="9"/>
      <c r="N266" s="9"/>
      <c r="O266" s="9"/>
      <c r="P266" s="9"/>
      <c r="Q266" s="9"/>
      <c r="R266" s="9"/>
      <c r="S266" s="9"/>
      <c r="T266" s="9"/>
      <c r="U266" s="9"/>
      <c r="V266" s="9"/>
      <c r="W266" s="9"/>
      <c r="X266" s="9"/>
      <c r="Y266" s="9"/>
      <c r="Z266" s="9"/>
      <c r="AA266" s="9"/>
    </row>
    <row r="267" spans="1:27">
      <c r="A267" s="9"/>
      <c r="B267" s="9"/>
      <c r="C267" s="5"/>
      <c r="D267" s="5"/>
      <c r="E267" s="5"/>
      <c r="F267" s="9"/>
      <c r="G267" s="9"/>
      <c r="H267" s="9"/>
      <c r="I267" s="9"/>
      <c r="J267" s="9"/>
      <c r="K267" s="9"/>
      <c r="L267" s="9"/>
      <c r="M267" s="9"/>
      <c r="N267" s="9"/>
      <c r="O267" s="9"/>
      <c r="P267" s="9"/>
      <c r="Q267" s="9"/>
      <c r="R267" s="9"/>
      <c r="S267" s="9"/>
      <c r="T267" s="9"/>
      <c r="U267" s="9"/>
      <c r="V267" s="9"/>
      <c r="W267" s="9"/>
      <c r="X267" s="9"/>
      <c r="Y267" s="9"/>
      <c r="Z267" s="9"/>
      <c r="AA267" s="9"/>
    </row>
    <row r="268" spans="1:27">
      <c r="A268" s="9"/>
      <c r="B268" s="9"/>
      <c r="C268" s="5"/>
      <c r="D268" s="5"/>
      <c r="E268" s="5"/>
      <c r="F268" s="9"/>
      <c r="G268" s="9"/>
      <c r="H268" s="9"/>
      <c r="I268" s="9"/>
      <c r="J268" s="9"/>
      <c r="K268" s="9"/>
      <c r="L268" s="9"/>
      <c r="M268" s="9"/>
      <c r="N268" s="9"/>
      <c r="O268" s="9"/>
      <c r="P268" s="9"/>
      <c r="Q268" s="9"/>
      <c r="R268" s="9"/>
      <c r="S268" s="9"/>
      <c r="T268" s="9"/>
      <c r="U268" s="9"/>
      <c r="V268" s="9"/>
      <c r="W268" s="9"/>
      <c r="X268" s="9"/>
      <c r="Y268" s="9"/>
      <c r="Z268" s="9"/>
      <c r="AA268" s="9"/>
    </row>
    <row r="269" spans="1:27">
      <c r="A269" s="9"/>
      <c r="B269" s="9"/>
      <c r="C269" s="5"/>
      <c r="D269" s="5"/>
      <c r="E269" s="5"/>
      <c r="F269" s="9"/>
      <c r="G269" s="9"/>
      <c r="H269" s="9"/>
      <c r="I269" s="9"/>
      <c r="J269" s="9"/>
      <c r="K269" s="9"/>
      <c r="L269" s="9"/>
      <c r="M269" s="9"/>
      <c r="N269" s="9"/>
      <c r="O269" s="9"/>
      <c r="P269" s="9"/>
      <c r="Q269" s="9"/>
      <c r="R269" s="9"/>
      <c r="S269" s="9"/>
      <c r="T269" s="9"/>
      <c r="U269" s="9"/>
      <c r="V269" s="9"/>
      <c r="W269" s="9"/>
      <c r="X269" s="9"/>
      <c r="Y269" s="9"/>
      <c r="Z269" s="9"/>
      <c r="AA269" s="9"/>
    </row>
    <row r="270" spans="1:27">
      <c r="A270" s="9"/>
      <c r="B270" s="9"/>
      <c r="C270" s="5"/>
      <c r="D270" s="5"/>
      <c r="E270" s="5"/>
      <c r="F270" s="9"/>
      <c r="G270" s="9"/>
      <c r="H270" s="9"/>
      <c r="I270" s="9"/>
      <c r="J270" s="9"/>
      <c r="K270" s="9"/>
      <c r="L270" s="9"/>
      <c r="M270" s="9"/>
      <c r="N270" s="9"/>
      <c r="O270" s="9"/>
      <c r="P270" s="9"/>
      <c r="Q270" s="9"/>
      <c r="R270" s="9"/>
      <c r="S270" s="9"/>
      <c r="T270" s="9"/>
      <c r="U270" s="9"/>
      <c r="V270" s="9"/>
      <c r="W270" s="9"/>
      <c r="X270" s="9"/>
      <c r="Y270" s="9"/>
      <c r="Z270" s="9"/>
      <c r="AA270" s="9"/>
    </row>
    <row r="271" spans="1:27">
      <c r="A271" s="9"/>
      <c r="B271" s="9"/>
      <c r="C271" s="5"/>
      <c r="D271" s="5"/>
      <c r="E271" s="5"/>
      <c r="F271" s="9"/>
      <c r="G271" s="9"/>
      <c r="H271" s="9"/>
      <c r="I271" s="9"/>
      <c r="J271" s="9"/>
      <c r="K271" s="9"/>
      <c r="L271" s="9"/>
      <c r="M271" s="9"/>
      <c r="N271" s="9"/>
      <c r="O271" s="9"/>
      <c r="P271" s="9"/>
      <c r="Q271" s="9"/>
      <c r="R271" s="9"/>
      <c r="S271" s="9"/>
      <c r="T271" s="9"/>
      <c r="U271" s="9"/>
      <c r="V271" s="9"/>
      <c r="W271" s="9"/>
      <c r="X271" s="9"/>
      <c r="Y271" s="9"/>
      <c r="Z271" s="9"/>
      <c r="AA271" s="9"/>
    </row>
    <row r="272" spans="1:27">
      <c r="A272" s="9"/>
      <c r="B272" s="9"/>
      <c r="C272" s="5"/>
      <c r="D272" s="5"/>
      <c r="E272" s="5"/>
      <c r="F272" s="9"/>
      <c r="G272" s="9"/>
      <c r="H272" s="9"/>
      <c r="I272" s="9"/>
      <c r="J272" s="9"/>
      <c r="K272" s="9"/>
      <c r="L272" s="9"/>
      <c r="M272" s="9"/>
      <c r="N272" s="9"/>
      <c r="O272" s="9"/>
      <c r="P272" s="9"/>
      <c r="Q272" s="9"/>
      <c r="R272" s="9"/>
      <c r="S272" s="9"/>
      <c r="T272" s="9"/>
      <c r="U272" s="9"/>
      <c r="V272" s="9"/>
      <c r="W272" s="9"/>
      <c r="X272" s="9"/>
      <c r="Y272" s="9"/>
      <c r="Z272" s="9"/>
      <c r="AA272" s="9"/>
    </row>
    <row r="273" spans="1:27">
      <c r="A273" s="9"/>
      <c r="B273" s="9"/>
      <c r="C273" s="5"/>
      <c r="D273" s="5"/>
      <c r="E273" s="5"/>
      <c r="F273" s="9"/>
      <c r="G273" s="9"/>
      <c r="H273" s="9"/>
      <c r="I273" s="9"/>
      <c r="J273" s="9"/>
      <c r="K273" s="9"/>
      <c r="L273" s="9"/>
      <c r="M273" s="9"/>
      <c r="N273" s="9"/>
      <c r="O273" s="9"/>
      <c r="P273" s="9"/>
      <c r="Q273" s="9"/>
      <c r="R273" s="9"/>
      <c r="S273" s="9"/>
      <c r="T273" s="9"/>
      <c r="U273" s="9"/>
      <c r="V273" s="9"/>
      <c r="W273" s="9"/>
      <c r="X273" s="9"/>
      <c r="Y273" s="9"/>
      <c r="Z273" s="9"/>
      <c r="AA273" s="9"/>
    </row>
    <row r="274" spans="1:27">
      <c r="A274" s="9"/>
      <c r="B274" s="9"/>
      <c r="C274" s="5"/>
      <c r="D274" s="5"/>
      <c r="E274" s="5"/>
      <c r="F274" s="9"/>
      <c r="G274" s="9"/>
      <c r="H274" s="9"/>
      <c r="I274" s="9"/>
      <c r="J274" s="9"/>
      <c r="K274" s="9"/>
      <c r="L274" s="9"/>
      <c r="M274" s="9"/>
      <c r="N274" s="9"/>
      <c r="O274" s="9"/>
      <c r="P274" s="9"/>
      <c r="Q274" s="9"/>
      <c r="R274" s="9"/>
      <c r="S274" s="9"/>
      <c r="T274" s="9"/>
      <c r="U274" s="9"/>
      <c r="V274" s="9"/>
      <c r="W274" s="9"/>
      <c r="X274" s="9"/>
      <c r="Y274" s="9"/>
      <c r="Z274" s="9"/>
      <c r="AA274" s="9"/>
    </row>
    <row r="275" spans="1:27">
      <c r="A275" s="9"/>
      <c r="B275" s="9"/>
      <c r="C275" s="5"/>
      <c r="D275" s="5"/>
      <c r="E275" s="5"/>
      <c r="F275" s="9"/>
      <c r="G275" s="9"/>
      <c r="H275" s="9"/>
      <c r="I275" s="9"/>
      <c r="J275" s="9"/>
      <c r="K275" s="9"/>
      <c r="L275" s="9"/>
      <c r="M275" s="9"/>
      <c r="N275" s="9"/>
      <c r="O275" s="9"/>
      <c r="P275" s="9"/>
      <c r="Q275" s="9"/>
      <c r="R275" s="9"/>
      <c r="S275" s="9"/>
      <c r="T275" s="9"/>
      <c r="U275" s="9"/>
      <c r="V275" s="9"/>
      <c r="W275" s="9"/>
      <c r="X275" s="9"/>
      <c r="Y275" s="9"/>
      <c r="Z275" s="9"/>
      <c r="AA275" s="9"/>
    </row>
    <row r="276" spans="1:27">
      <c r="A276" s="9"/>
      <c r="B276" s="9"/>
      <c r="C276" s="5"/>
      <c r="D276" s="5"/>
      <c r="E276" s="5"/>
      <c r="F276" s="9"/>
      <c r="G276" s="9"/>
      <c r="H276" s="9"/>
      <c r="I276" s="9"/>
      <c r="J276" s="9"/>
      <c r="K276" s="9"/>
      <c r="L276" s="9"/>
      <c r="M276" s="9"/>
      <c r="N276" s="9"/>
      <c r="O276" s="9"/>
      <c r="P276" s="9"/>
      <c r="Q276" s="9"/>
      <c r="R276" s="9"/>
      <c r="S276" s="9"/>
      <c r="T276" s="9"/>
      <c r="U276" s="9"/>
      <c r="V276" s="9"/>
      <c r="W276" s="9"/>
      <c r="X276" s="9"/>
      <c r="Y276" s="9"/>
      <c r="Z276" s="9"/>
      <c r="AA276" s="9"/>
    </row>
    <row r="277" spans="1:27">
      <c r="A277" s="9"/>
      <c r="B277" s="9"/>
      <c r="C277" s="5"/>
      <c r="D277" s="5"/>
      <c r="E277" s="5"/>
      <c r="F277" s="9"/>
      <c r="G277" s="9"/>
      <c r="H277" s="9"/>
      <c r="I277" s="9"/>
      <c r="J277" s="9"/>
      <c r="K277" s="9"/>
      <c r="L277" s="9"/>
      <c r="M277" s="9"/>
      <c r="N277" s="9"/>
      <c r="O277" s="9"/>
      <c r="P277" s="9"/>
      <c r="Q277" s="9"/>
      <c r="R277" s="9"/>
      <c r="S277" s="9"/>
      <c r="T277" s="9"/>
      <c r="U277" s="9"/>
      <c r="V277" s="9"/>
      <c r="W277" s="9"/>
      <c r="X277" s="9"/>
      <c r="Y277" s="9"/>
      <c r="Z277" s="9"/>
      <c r="AA277" s="9"/>
    </row>
    <row r="278" spans="1:27">
      <c r="A278" s="9"/>
      <c r="B278" s="9"/>
      <c r="C278" s="5"/>
      <c r="D278" s="5"/>
      <c r="E278" s="5"/>
      <c r="F278" s="9"/>
      <c r="G278" s="9"/>
      <c r="H278" s="9"/>
      <c r="I278" s="9"/>
      <c r="J278" s="9"/>
      <c r="K278" s="9"/>
      <c r="L278" s="9"/>
      <c r="M278" s="9"/>
      <c r="N278" s="9"/>
      <c r="O278" s="9"/>
      <c r="P278" s="9"/>
      <c r="Q278" s="9"/>
      <c r="R278" s="9"/>
      <c r="S278" s="9"/>
      <c r="T278" s="9"/>
      <c r="U278" s="9"/>
      <c r="V278" s="9"/>
      <c r="W278" s="9"/>
      <c r="X278" s="9"/>
      <c r="Y278" s="9"/>
      <c r="Z278" s="9"/>
      <c r="AA278" s="9"/>
    </row>
    <row r="279" spans="1:27">
      <c r="A279" s="9"/>
      <c r="B279" s="9"/>
      <c r="C279" s="5"/>
      <c r="D279" s="5"/>
      <c r="E279" s="5"/>
      <c r="F279" s="9"/>
      <c r="G279" s="9"/>
      <c r="H279" s="9"/>
      <c r="I279" s="9"/>
      <c r="J279" s="9"/>
      <c r="K279" s="9"/>
      <c r="L279" s="9"/>
      <c r="M279" s="9"/>
      <c r="N279" s="9"/>
      <c r="O279" s="9"/>
      <c r="P279" s="9"/>
      <c r="Q279" s="9"/>
      <c r="R279" s="9"/>
      <c r="S279" s="9"/>
      <c r="T279" s="9"/>
      <c r="U279" s="9"/>
      <c r="V279" s="9"/>
      <c r="W279" s="9"/>
      <c r="X279" s="9"/>
      <c r="Y279" s="9"/>
      <c r="Z279" s="9"/>
      <c r="AA279" s="9"/>
    </row>
    <row r="280" spans="1:27">
      <c r="A280" s="9"/>
      <c r="B280" s="9"/>
      <c r="C280" s="5"/>
      <c r="D280" s="5"/>
      <c r="E280" s="5"/>
      <c r="F280" s="9"/>
      <c r="G280" s="9"/>
      <c r="H280" s="9"/>
      <c r="I280" s="9"/>
      <c r="J280" s="9"/>
      <c r="K280" s="9"/>
      <c r="L280" s="9"/>
      <c r="M280" s="9"/>
      <c r="N280" s="9"/>
      <c r="O280" s="9"/>
      <c r="P280" s="9"/>
      <c r="Q280" s="9"/>
      <c r="R280" s="9"/>
      <c r="S280" s="9"/>
      <c r="T280" s="9"/>
      <c r="U280" s="9"/>
      <c r="V280" s="9"/>
      <c r="W280" s="9"/>
      <c r="X280" s="9"/>
      <c r="Y280" s="9"/>
      <c r="Z280" s="9"/>
      <c r="AA280" s="9"/>
    </row>
    <row r="281" spans="1:27">
      <c r="A281" s="9"/>
      <c r="B281" s="9"/>
      <c r="C281" s="5"/>
      <c r="D281" s="5"/>
      <c r="E281" s="5"/>
      <c r="F281" s="9"/>
      <c r="G281" s="9"/>
      <c r="H281" s="9"/>
      <c r="I281" s="9"/>
      <c r="J281" s="9"/>
      <c r="K281" s="9"/>
      <c r="L281" s="9"/>
      <c r="M281" s="9"/>
      <c r="N281" s="9"/>
      <c r="O281" s="9"/>
      <c r="P281" s="9"/>
      <c r="Q281" s="9"/>
      <c r="R281" s="9"/>
      <c r="S281" s="9"/>
      <c r="T281" s="9"/>
      <c r="U281" s="9"/>
      <c r="V281" s="9"/>
      <c r="W281" s="9"/>
      <c r="X281" s="9"/>
      <c r="Y281" s="9"/>
      <c r="Z281" s="9"/>
      <c r="AA281" s="9"/>
    </row>
    <row r="282" spans="1:27">
      <c r="A282" s="9"/>
      <c r="B282" s="9"/>
      <c r="C282" s="5"/>
      <c r="D282" s="5"/>
      <c r="E282" s="5"/>
      <c r="F282" s="9"/>
      <c r="G282" s="9"/>
      <c r="H282" s="9"/>
      <c r="I282" s="9"/>
      <c r="J282" s="9"/>
      <c r="K282" s="9"/>
      <c r="L282" s="9"/>
      <c r="M282" s="9"/>
      <c r="N282" s="9"/>
      <c r="O282" s="9"/>
      <c r="P282" s="9"/>
      <c r="Q282" s="9"/>
      <c r="R282" s="9"/>
      <c r="S282" s="9"/>
      <c r="T282" s="9"/>
      <c r="U282" s="9"/>
      <c r="V282" s="9"/>
      <c r="W282" s="9"/>
      <c r="X282" s="9"/>
      <c r="Y282" s="9"/>
      <c r="Z282" s="9"/>
      <c r="AA282" s="9"/>
    </row>
    <row r="283" spans="1:27">
      <c r="A283" s="9"/>
      <c r="B283" s="9"/>
      <c r="C283" s="5"/>
      <c r="D283" s="5"/>
      <c r="E283" s="5"/>
      <c r="F283" s="9"/>
      <c r="G283" s="9"/>
      <c r="H283" s="9"/>
      <c r="I283" s="9"/>
      <c r="J283" s="9"/>
      <c r="K283" s="9"/>
      <c r="L283" s="9"/>
      <c r="M283" s="9"/>
      <c r="N283" s="9"/>
      <c r="O283" s="9"/>
      <c r="P283" s="9"/>
      <c r="Q283" s="9"/>
      <c r="R283" s="9"/>
      <c r="S283" s="9"/>
      <c r="T283" s="9"/>
      <c r="U283" s="9"/>
      <c r="V283" s="9"/>
      <c r="W283" s="9"/>
      <c r="X283" s="9"/>
      <c r="Y283" s="9"/>
      <c r="Z283" s="9"/>
      <c r="AA283" s="9"/>
    </row>
    <row r="284" spans="1:27">
      <c r="A284" s="9"/>
      <c r="B284" s="9"/>
      <c r="C284" s="5"/>
      <c r="D284" s="5"/>
      <c r="E284" s="5"/>
      <c r="F284" s="9"/>
      <c r="G284" s="9"/>
      <c r="H284" s="9"/>
      <c r="I284" s="9"/>
      <c r="J284" s="9"/>
      <c r="K284" s="9"/>
      <c r="L284" s="9"/>
      <c r="M284" s="9"/>
      <c r="N284" s="9"/>
      <c r="O284" s="9"/>
      <c r="P284" s="9"/>
      <c r="Q284" s="9"/>
      <c r="R284" s="9"/>
      <c r="S284" s="9"/>
      <c r="T284" s="9"/>
      <c r="U284" s="9"/>
      <c r="V284" s="9"/>
      <c r="W284" s="9"/>
      <c r="X284" s="9"/>
      <c r="Y284" s="9"/>
      <c r="Z284" s="9"/>
      <c r="AA284" s="9"/>
    </row>
    <row r="285" spans="1:27">
      <c r="A285" s="9"/>
      <c r="B285" s="9"/>
      <c r="C285" s="5"/>
      <c r="D285" s="5"/>
      <c r="E285" s="5"/>
      <c r="F285" s="9"/>
      <c r="G285" s="9"/>
      <c r="H285" s="9"/>
      <c r="I285" s="9"/>
      <c r="J285" s="9"/>
      <c r="K285" s="9"/>
      <c r="L285" s="9"/>
      <c r="M285" s="9"/>
      <c r="N285" s="9"/>
      <c r="O285" s="9"/>
      <c r="P285" s="9"/>
      <c r="Q285" s="9"/>
      <c r="R285" s="9"/>
      <c r="S285" s="9"/>
      <c r="T285" s="9"/>
      <c r="U285" s="9"/>
      <c r="V285" s="9"/>
      <c r="W285" s="9"/>
      <c r="X285" s="9"/>
      <c r="Y285" s="9"/>
      <c r="Z285" s="9"/>
      <c r="AA285" s="9"/>
    </row>
    <row r="286" spans="1:27">
      <c r="A286" s="9"/>
      <c r="B286" s="9"/>
      <c r="C286" s="5"/>
      <c r="D286" s="5"/>
      <c r="E286" s="5"/>
      <c r="F286" s="9"/>
      <c r="G286" s="9"/>
      <c r="H286" s="9"/>
      <c r="I286" s="9"/>
      <c r="J286" s="9"/>
      <c r="K286" s="9"/>
      <c r="L286" s="9"/>
      <c r="M286" s="9"/>
      <c r="N286" s="9"/>
      <c r="O286" s="9"/>
      <c r="P286" s="9"/>
      <c r="Q286" s="9"/>
      <c r="R286" s="9"/>
      <c r="S286" s="9"/>
      <c r="T286" s="9"/>
      <c r="U286" s="9"/>
      <c r="V286" s="9"/>
      <c r="W286" s="9"/>
      <c r="X286" s="9"/>
      <c r="Y286" s="9"/>
      <c r="Z286" s="9"/>
      <c r="AA286" s="9"/>
    </row>
    <row r="287" spans="1:27">
      <c r="A287" s="9"/>
      <c r="B287" s="9"/>
      <c r="C287" s="5"/>
      <c r="D287" s="5"/>
      <c r="E287" s="5"/>
      <c r="F287" s="9"/>
      <c r="G287" s="9"/>
      <c r="H287" s="9"/>
      <c r="I287" s="9"/>
      <c r="J287" s="9"/>
      <c r="K287" s="9"/>
      <c r="L287" s="9"/>
      <c r="M287" s="9"/>
      <c r="N287" s="9"/>
      <c r="O287" s="9"/>
      <c r="P287" s="9"/>
      <c r="Q287" s="9"/>
      <c r="R287" s="9"/>
      <c r="S287" s="9"/>
      <c r="T287" s="9"/>
      <c r="U287" s="9"/>
      <c r="V287" s="9"/>
      <c r="W287" s="9"/>
      <c r="X287" s="9"/>
      <c r="Y287" s="9"/>
      <c r="Z287" s="9"/>
      <c r="AA287" s="9"/>
    </row>
    <row r="288" spans="1:27">
      <c r="A288" s="9"/>
      <c r="B288" s="9"/>
      <c r="C288" s="5"/>
      <c r="D288" s="5"/>
      <c r="E288" s="5"/>
      <c r="F288" s="9"/>
      <c r="G288" s="9"/>
      <c r="H288" s="9"/>
      <c r="I288" s="9"/>
      <c r="J288" s="9"/>
      <c r="K288" s="9"/>
      <c r="L288" s="9"/>
      <c r="M288" s="9"/>
      <c r="N288" s="9"/>
      <c r="O288" s="9"/>
      <c r="P288" s="9"/>
      <c r="Q288" s="9"/>
      <c r="R288" s="9"/>
      <c r="S288" s="9"/>
      <c r="T288" s="9"/>
      <c r="U288" s="9"/>
      <c r="V288" s="9"/>
      <c r="W288" s="9"/>
      <c r="X288" s="9"/>
      <c r="Y288" s="9"/>
      <c r="Z288" s="9"/>
      <c r="AA288" s="9"/>
    </row>
    <row r="289" spans="1:27">
      <c r="A289" s="9"/>
      <c r="B289" s="9"/>
      <c r="C289" s="5"/>
      <c r="D289" s="5"/>
      <c r="E289" s="5"/>
      <c r="F289" s="9"/>
      <c r="G289" s="9"/>
      <c r="H289" s="9"/>
      <c r="I289" s="9"/>
      <c r="J289" s="9"/>
      <c r="K289" s="9"/>
      <c r="L289" s="9"/>
      <c r="M289" s="9"/>
      <c r="N289" s="9"/>
      <c r="O289" s="9"/>
      <c r="P289" s="9"/>
      <c r="Q289" s="9"/>
      <c r="R289" s="9"/>
      <c r="S289" s="9"/>
      <c r="T289" s="9"/>
      <c r="U289" s="9"/>
      <c r="V289" s="9"/>
      <c r="W289" s="9"/>
      <c r="X289" s="9"/>
      <c r="Y289" s="9"/>
      <c r="Z289" s="9"/>
      <c r="AA289" s="9"/>
    </row>
    <row r="290" spans="1:27">
      <c r="A290" s="9"/>
      <c r="B290" s="9"/>
      <c r="C290" s="5"/>
      <c r="D290" s="5"/>
      <c r="E290" s="5"/>
      <c r="F290" s="9"/>
      <c r="G290" s="9"/>
      <c r="H290" s="9"/>
      <c r="I290" s="9"/>
      <c r="J290" s="9"/>
      <c r="K290" s="9"/>
      <c r="L290" s="9"/>
      <c r="M290" s="9"/>
      <c r="N290" s="9"/>
      <c r="O290" s="9"/>
      <c r="P290" s="9"/>
      <c r="Q290" s="9"/>
      <c r="R290" s="9"/>
      <c r="S290" s="9"/>
      <c r="T290" s="9"/>
      <c r="U290" s="9"/>
      <c r="V290" s="9"/>
      <c r="W290" s="9"/>
      <c r="X290" s="9"/>
      <c r="Y290" s="9"/>
      <c r="Z290" s="9"/>
      <c r="AA290" s="9"/>
    </row>
    <row r="291" spans="1:27">
      <c r="A291" s="9"/>
      <c r="B291" s="9"/>
      <c r="C291" s="5"/>
      <c r="D291" s="5"/>
      <c r="E291" s="5"/>
      <c r="F291" s="9"/>
      <c r="G291" s="9"/>
      <c r="H291" s="9"/>
      <c r="I291" s="9"/>
      <c r="J291" s="9"/>
      <c r="K291" s="9"/>
      <c r="L291" s="9"/>
      <c r="M291" s="9"/>
      <c r="N291" s="9"/>
      <c r="O291" s="9"/>
      <c r="P291" s="9"/>
      <c r="Q291" s="9"/>
      <c r="R291" s="9"/>
      <c r="S291" s="9"/>
      <c r="T291" s="9"/>
      <c r="U291" s="9"/>
      <c r="V291" s="9"/>
      <c r="W291" s="9"/>
      <c r="X291" s="9"/>
      <c r="Y291" s="9"/>
      <c r="Z291" s="9"/>
      <c r="AA291" s="9"/>
    </row>
    <row r="292" spans="1:27">
      <c r="A292" s="9"/>
      <c r="B292" s="9"/>
      <c r="C292" s="5"/>
      <c r="D292" s="5"/>
      <c r="E292" s="5"/>
      <c r="F292" s="9"/>
      <c r="G292" s="9"/>
      <c r="H292" s="9"/>
      <c r="I292" s="9"/>
      <c r="J292" s="9"/>
      <c r="K292" s="9"/>
      <c r="L292" s="9"/>
      <c r="M292" s="9"/>
      <c r="N292" s="9"/>
      <c r="O292" s="9"/>
      <c r="P292" s="9"/>
      <c r="Q292" s="9"/>
      <c r="R292" s="9"/>
      <c r="S292" s="9"/>
      <c r="T292" s="9"/>
      <c r="U292" s="9"/>
      <c r="V292" s="9"/>
      <c r="W292" s="9"/>
      <c r="X292" s="9"/>
      <c r="Y292" s="9"/>
      <c r="Z292" s="9"/>
      <c r="AA292" s="9"/>
    </row>
    <row r="293" spans="1:27">
      <c r="A293" s="9"/>
      <c r="B293" s="9"/>
      <c r="C293" s="5"/>
      <c r="D293" s="5"/>
      <c r="E293" s="5"/>
      <c r="F293" s="9"/>
      <c r="G293" s="9"/>
      <c r="H293" s="9"/>
      <c r="I293" s="9"/>
      <c r="J293" s="9"/>
      <c r="K293" s="9"/>
      <c r="L293" s="9"/>
      <c r="M293" s="9"/>
      <c r="N293" s="9"/>
      <c r="O293" s="9"/>
      <c r="P293" s="9"/>
      <c r="Q293" s="9"/>
      <c r="R293" s="9"/>
      <c r="S293" s="9"/>
      <c r="T293" s="9"/>
      <c r="U293" s="9"/>
      <c r="V293" s="9"/>
      <c r="W293" s="9"/>
      <c r="X293" s="9"/>
      <c r="Y293" s="9"/>
      <c r="Z293" s="9"/>
      <c r="AA293" s="9"/>
    </row>
    <row r="294" spans="1:27">
      <c r="A294" s="9"/>
      <c r="B294" s="9"/>
      <c r="C294" s="5"/>
      <c r="D294" s="5"/>
      <c r="E294" s="5"/>
      <c r="F294" s="9"/>
      <c r="G294" s="9"/>
      <c r="H294" s="9"/>
      <c r="I294" s="9"/>
      <c r="J294" s="9"/>
      <c r="K294" s="9"/>
      <c r="L294" s="9"/>
      <c r="M294" s="9"/>
      <c r="N294" s="9"/>
      <c r="O294" s="9"/>
      <c r="P294" s="9"/>
      <c r="Q294" s="9"/>
      <c r="R294" s="9"/>
      <c r="S294" s="9"/>
      <c r="T294" s="9"/>
      <c r="U294" s="9"/>
      <c r="V294" s="9"/>
      <c r="W294" s="9"/>
      <c r="X294" s="9"/>
      <c r="Y294" s="9"/>
      <c r="Z294" s="9"/>
      <c r="AA294" s="9"/>
    </row>
    <row r="295" spans="1:27">
      <c r="A295" s="9"/>
      <c r="B295" s="9"/>
      <c r="C295" s="5"/>
      <c r="D295" s="5"/>
      <c r="E295" s="5"/>
      <c r="F295" s="9"/>
      <c r="G295" s="9"/>
      <c r="H295" s="9"/>
      <c r="I295" s="9"/>
      <c r="J295" s="9"/>
      <c r="K295" s="9"/>
      <c r="L295" s="9"/>
      <c r="M295" s="9"/>
      <c r="N295" s="9"/>
      <c r="O295" s="9"/>
      <c r="P295" s="9"/>
      <c r="Q295" s="9"/>
      <c r="R295" s="9"/>
      <c r="S295" s="9"/>
      <c r="T295" s="9"/>
      <c r="U295" s="9"/>
      <c r="V295" s="9"/>
      <c r="W295" s="9"/>
      <c r="X295" s="9"/>
      <c r="Y295" s="9"/>
      <c r="Z295" s="9"/>
      <c r="AA295" s="9"/>
    </row>
    <row r="296" spans="1:27">
      <c r="A296" s="9"/>
      <c r="B296" s="9"/>
      <c r="C296" s="5"/>
      <c r="D296" s="5"/>
      <c r="E296" s="5"/>
      <c r="F296" s="9"/>
      <c r="G296" s="9"/>
      <c r="H296" s="9"/>
      <c r="I296" s="9"/>
      <c r="J296" s="9"/>
      <c r="K296" s="9"/>
      <c r="L296" s="9"/>
      <c r="M296" s="9"/>
      <c r="N296" s="9"/>
      <c r="O296" s="9"/>
      <c r="P296" s="9"/>
      <c r="Q296" s="9"/>
      <c r="R296" s="9"/>
      <c r="S296" s="9"/>
      <c r="T296" s="9"/>
      <c r="U296" s="9"/>
      <c r="V296" s="9"/>
      <c r="W296" s="9"/>
      <c r="X296" s="9"/>
      <c r="Y296" s="9"/>
      <c r="Z296" s="9"/>
      <c r="AA296" s="9"/>
    </row>
    <row r="297" spans="1:27">
      <c r="A297" s="9"/>
      <c r="B297" s="9"/>
      <c r="C297" s="5"/>
      <c r="D297" s="5"/>
      <c r="E297" s="5"/>
      <c r="F297" s="9"/>
      <c r="G297" s="9"/>
      <c r="H297" s="9"/>
      <c r="I297" s="9"/>
      <c r="J297" s="9"/>
      <c r="K297" s="9"/>
      <c r="L297" s="9"/>
      <c r="M297" s="9"/>
      <c r="N297" s="9"/>
      <c r="O297" s="9"/>
      <c r="P297" s="9"/>
      <c r="Q297" s="9"/>
      <c r="R297" s="9"/>
      <c r="S297" s="9"/>
      <c r="T297" s="9"/>
      <c r="U297" s="9"/>
      <c r="V297" s="9"/>
      <c r="W297" s="9"/>
      <c r="X297" s="9"/>
      <c r="Y297" s="9"/>
      <c r="Z297" s="9"/>
      <c r="AA297" s="9"/>
    </row>
    <row r="298" spans="1:27">
      <c r="A298" s="9"/>
      <c r="B298" s="9"/>
      <c r="C298" s="5"/>
      <c r="D298" s="5"/>
      <c r="E298" s="5"/>
      <c r="F298" s="9"/>
      <c r="G298" s="9"/>
      <c r="H298" s="9"/>
      <c r="I298" s="9"/>
      <c r="J298" s="9"/>
      <c r="K298" s="9"/>
      <c r="L298" s="9"/>
      <c r="M298" s="9"/>
      <c r="N298" s="9"/>
      <c r="O298" s="9"/>
      <c r="P298" s="9"/>
      <c r="Q298" s="9"/>
      <c r="R298" s="9"/>
      <c r="S298" s="9"/>
      <c r="T298" s="9"/>
      <c r="U298" s="9"/>
      <c r="V298" s="9"/>
      <c r="W298" s="9"/>
      <c r="X298" s="9"/>
      <c r="Y298" s="9"/>
      <c r="Z298" s="9"/>
      <c r="AA298" s="9"/>
    </row>
    <row r="299" spans="1:27">
      <c r="A299" s="9"/>
      <c r="B299" s="9"/>
      <c r="C299" s="5"/>
      <c r="D299" s="5"/>
      <c r="E299" s="5"/>
      <c r="F299" s="9"/>
      <c r="G299" s="9"/>
      <c r="H299" s="9"/>
      <c r="I299" s="9"/>
      <c r="J299" s="9"/>
      <c r="K299" s="9"/>
      <c r="L299" s="9"/>
      <c r="M299" s="9"/>
      <c r="N299" s="9"/>
      <c r="O299" s="9"/>
      <c r="P299" s="9"/>
      <c r="Q299" s="9"/>
      <c r="R299" s="9"/>
      <c r="S299" s="9"/>
      <c r="T299" s="9"/>
      <c r="U299" s="9"/>
      <c r="V299" s="9"/>
      <c r="W299" s="9"/>
      <c r="X299" s="9"/>
      <c r="Y299" s="9"/>
      <c r="Z299" s="9"/>
      <c r="AA299" s="9"/>
    </row>
    <row r="300" spans="1:27">
      <c r="A300" s="9"/>
      <c r="B300" s="9"/>
      <c r="C300" s="5"/>
      <c r="D300" s="5"/>
      <c r="E300" s="5"/>
      <c r="F300" s="9"/>
      <c r="G300" s="9"/>
      <c r="H300" s="9"/>
      <c r="I300" s="9"/>
      <c r="J300" s="9"/>
      <c r="K300" s="9"/>
      <c r="L300" s="9"/>
      <c r="M300" s="9"/>
      <c r="N300" s="9"/>
      <c r="O300" s="9"/>
      <c r="P300" s="9"/>
      <c r="Q300" s="9"/>
      <c r="R300" s="9"/>
      <c r="S300" s="9"/>
      <c r="T300" s="9"/>
      <c r="U300" s="9"/>
      <c r="V300" s="9"/>
      <c r="W300" s="9"/>
      <c r="X300" s="9"/>
      <c r="Y300" s="9"/>
      <c r="Z300" s="9"/>
      <c r="AA300" s="9"/>
    </row>
    <row r="301" spans="1:27">
      <c r="A301" s="9"/>
      <c r="B301" s="9"/>
      <c r="C301" s="5"/>
      <c r="D301" s="5"/>
      <c r="E301" s="5"/>
      <c r="F301" s="9"/>
      <c r="G301" s="9"/>
      <c r="H301" s="9"/>
      <c r="I301" s="9"/>
      <c r="J301" s="9"/>
      <c r="K301" s="9"/>
      <c r="L301" s="9"/>
      <c r="M301" s="9"/>
      <c r="N301" s="9"/>
      <c r="O301" s="9"/>
      <c r="P301" s="9"/>
      <c r="Q301" s="9"/>
      <c r="R301" s="9"/>
      <c r="S301" s="9"/>
      <c r="T301" s="9"/>
      <c r="U301" s="9"/>
      <c r="V301" s="9"/>
      <c r="W301" s="9"/>
      <c r="X301" s="9"/>
      <c r="Y301" s="9"/>
      <c r="Z301" s="9"/>
      <c r="AA301" s="9"/>
    </row>
    <row r="302" spans="1:27">
      <c r="A302" s="9"/>
      <c r="B302" s="9"/>
      <c r="C302" s="5"/>
      <c r="D302" s="5"/>
      <c r="E302" s="5"/>
      <c r="F302" s="9"/>
      <c r="G302" s="9"/>
      <c r="H302" s="9"/>
      <c r="I302" s="9"/>
      <c r="J302" s="9"/>
      <c r="K302" s="9"/>
      <c r="L302" s="9"/>
      <c r="M302" s="9"/>
      <c r="N302" s="9"/>
      <c r="O302" s="9"/>
      <c r="P302" s="9"/>
      <c r="Q302" s="9"/>
      <c r="R302" s="9"/>
      <c r="S302" s="9"/>
      <c r="T302" s="9"/>
      <c r="U302" s="9"/>
      <c r="V302" s="9"/>
      <c r="W302" s="9"/>
      <c r="X302" s="9"/>
      <c r="Y302" s="9"/>
      <c r="Z302" s="9"/>
      <c r="AA302" s="9"/>
    </row>
    <row r="303" spans="1:27">
      <c r="A303" s="9"/>
      <c r="B303" s="9"/>
      <c r="C303" s="5"/>
      <c r="D303" s="5"/>
      <c r="E303" s="5"/>
      <c r="F303" s="9"/>
      <c r="G303" s="9"/>
      <c r="H303" s="9"/>
      <c r="I303" s="9"/>
      <c r="J303" s="9"/>
      <c r="K303" s="9"/>
      <c r="L303" s="9"/>
      <c r="M303" s="9"/>
      <c r="N303" s="9"/>
      <c r="O303" s="9"/>
      <c r="P303" s="9"/>
      <c r="Q303" s="9"/>
      <c r="R303" s="9"/>
      <c r="S303" s="9"/>
      <c r="T303" s="9"/>
      <c r="U303" s="9"/>
      <c r="V303" s="9"/>
      <c r="W303" s="9"/>
      <c r="X303" s="9"/>
      <c r="Y303" s="9"/>
      <c r="Z303" s="9"/>
      <c r="AA303" s="9"/>
    </row>
    <row r="304" spans="1:27">
      <c r="A304" s="9"/>
      <c r="B304" s="9"/>
      <c r="C304" s="5"/>
      <c r="D304" s="5"/>
      <c r="E304" s="5"/>
      <c r="F304" s="9"/>
      <c r="G304" s="9"/>
      <c r="H304" s="9"/>
      <c r="I304" s="9"/>
      <c r="J304" s="9"/>
      <c r="K304" s="9"/>
      <c r="L304" s="9"/>
      <c r="M304" s="9"/>
      <c r="N304" s="9"/>
      <c r="O304" s="9"/>
      <c r="P304" s="9"/>
      <c r="Q304" s="9"/>
      <c r="R304" s="9"/>
      <c r="S304" s="9"/>
      <c r="T304" s="9"/>
      <c r="U304" s="9"/>
      <c r="V304" s="9"/>
      <c r="W304" s="9"/>
      <c r="X304" s="9"/>
      <c r="Y304" s="9"/>
      <c r="Z304" s="9"/>
      <c r="AA304" s="9"/>
    </row>
    <row r="305" spans="1:27">
      <c r="A305" s="9"/>
      <c r="B305" s="9"/>
      <c r="C305" s="5"/>
      <c r="D305" s="5"/>
      <c r="E305" s="5"/>
      <c r="F305" s="9"/>
      <c r="G305" s="9"/>
      <c r="H305" s="9"/>
      <c r="I305" s="9"/>
      <c r="J305" s="9"/>
      <c r="K305" s="9"/>
      <c r="L305" s="9"/>
      <c r="M305" s="9"/>
      <c r="N305" s="9"/>
      <c r="O305" s="9"/>
      <c r="P305" s="9"/>
      <c r="Q305" s="9"/>
      <c r="R305" s="9"/>
      <c r="S305" s="9"/>
      <c r="T305" s="9"/>
      <c r="U305" s="9"/>
      <c r="V305" s="9"/>
      <c r="W305" s="9"/>
      <c r="X305" s="9"/>
      <c r="Y305" s="9"/>
      <c r="Z305" s="9"/>
      <c r="AA305" s="9"/>
    </row>
    <row r="306" spans="1:27">
      <c r="A306" s="9"/>
      <c r="B306" s="9"/>
      <c r="C306" s="5"/>
      <c r="D306" s="5"/>
      <c r="E306" s="5"/>
      <c r="F306" s="9"/>
      <c r="G306" s="9"/>
      <c r="H306" s="9"/>
      <c r="I306" s="9"/>
      <c r="J306" s="9"/>
      <c r="K306" s="9"/>
      <c r="L306" s="9"/>
      <c r="M306" s="9"/>
      <c r="N306" s="9"/>
      <c r="O306" s="9"/>
      <c r="P306" s="9"/>
      <c r="Q306" s="9"/>
      <c r="R306" s="9"/>
      <c r="S306" s="9"/>
      <c r="T306" s="9"/>
      <c r="U306" s="9"/>
      <c r="V306" s="9"/>
      <c r="W306" s="9"/>
      <c r="X306" s="9"/>
      <c r="Y306" s="9"/>
      <c r="Z306" s="9"/>
      <c r="AA306" s="9"/>
    </row>
    <row r="307" spans="1:27">
      <c r="A307" s="9"/>
      <c r="B307" s="9"/>
      <c r="C307" s="5"/>
      <c r="D307" s="5"/>
      <c r="E307" s="5"/>
      <c r="F307" s="9"/>
      <c r="G307" s="9"/>
      <c r="H307" s="9"/>
      <c r="I307" s="9"/>
      <c r="J307" s="9"/>
      <c r="K307" s="9"/>
      <c r="L307" s="9"/>
      <c r="M307" s="9"/>
      <c r="N307" s="9"/>
      <c r="O307" s="9"/>
      <c r="P307" s="9"/>
      <c r="Q307" s="9"/>
      <c r="R307" s="9"/>
      <c r="S307" s="9"/>
      <c r="T307" s="9"/>
      <c r="U307" s="9"/>
      <c r="V307" s="9"/>
      <c r="W307" s="9"/>
      <c r="X307" s="9"/>
      <c r="Y307" s="9"/>
      <c r="Z307" s="9"/>
      <c r="AA307" s="9"/>
    </row>
    <row r="308" spans="1:27">
      <c r="A308" s="9"/>
      <c r="B308" s="9"/>
      <c r="C308" s="5"/>
      <c r="D308" s="5"/>
      <c r="E308" s="5"/>
      <c r="F308" s="9"/>
      <c r="G308" s="9"/>
      <c r="H308" s="9"/>
      <c r="I308" s="9"/>
      <c r="J308" s="9"/>
      <c r="K308" s="9"/>
      <c r="L308" s="9"/>
      <c r="M308" s="9"/>
      <c r="N308" s="9"/>
      <c r="O308" s="9"/>
      <c r="P308" s="9"/>
      <c r="Q308" s="9"/>
      <c r="R308" s="9"/>
      <c r="S308" s="9"/>
      <c r="T308" s="9"/>
      <c r="U308" s="9"/>
      <c r="V308" s="9"/>
      <c r="W308" s="9"/>
      <c r="X308" s="9"/>
      <c r="Y308" s="9"/>
      <c r="Z308" s="9"/>
      <c r="AA308" s="9"/>
    </row>
    <row r="309" spans="1:27">
      <c r="A309" s="9"/>
      <c r="B309" s="9"/>
      <c r="C309" s="5"/>
      <c r="D309" s="5"/>
      <c r="E309" s="5"/>
      <c r="F309" s="9"/>
      <c r="G309" s="9"/>
      <c r="H309" s="9"/>
      <c r="I309" s="9"/>
      <c r="J309" s="9"/>
      <c r="K309" s="9"/>
      <c r="L309" s="9"/>
      <c r="M309" s="9"/>
      <c r="N309" s="9"/>
      <c r="O309" s="9"/>
      <c r="P309" s="9"/>
      <c r="Q309" s="9"/>
      <c r="R309" s="9"/>
      <c r="S309" s="9"/>
      <c r="T309" s="9"/>
      <c r="U309" s="9"/>
      <c r="V309" s="9"/>
      <c r="W309" s="9"/>
      <c r="X309" s="9"/>
      <c r="Y309" s="9"/>
      <c r="Z309" s="9"/>
      <c r="AA309" s="9"/>
    </row>
    <row r="310" spans="1:27">
      <c r="A310" s="9"/>
      <c r="B310" s="9"/>
      <c r="C310" s="5"/>
      <c r="D310" s="5"/>
      <c r="E310" s="5"/>
      <c r="F310" s="9"/>
      <c r="G310" s="9"/>
      <c r="H310" s="9"/>
      <c r="I310" s="9"/>
      <c r="J310" s="9"/>
      <c r="K310" s="9"/>
      <c r="L310" s="9"/>
      <c r="M310" s="9"/>
      <c r="N310" s="9"/>
      <c r="O310" s="9"/>
      <c r="P310" s="9"/>
      <c r="Q310" s="9"/>
      <c r="R310" s="9"/>
      <c r="S310" s="9"/>
      <c r="T310" s="9"/>
      <c r="U310" s="9"/>
      <c r="V310" s="9"/>
      <c r="W310" s="9"/>
      <c r="X310" s="9"/>
      <c r="Y310" s="9"/>
      <c r="Z310" s="9"/>
      <c r="AA310" s="9"/>
    </row>
    <row r="311" spans="1:27">
      <c r="A311" s="9"/>
      <c r="B311" s="9"/>
      <c r="C311" s="5"/>
      <c r="D311" s="5"/>
      <c r="E311" s="5"/>
      <c r="F311" s="9"/>
      <c r="G311" s="9"/>
      <c r="H311" s="9"/>
      <c r="I311" s="9"/>
      <c r="J311" s="9"/>
      <c r="K311" s="9"/>
      <c r="L311" s="9"/>
      <c r="M311" s="9"/>
      <c r="N311" s="9"/>
      <c r="O311" s="9"/>
      <c r="P311" s="9"/>
      <c r="Q311" s="9"/>
      <c r="R311" s="9"/>
      <c r="S311" s="9"/>
      <c r="T311" s="9"/>
      <c r="U311" s="9"/>
      <c r="V311" s="9"/>
      <c r="W311" s="9"/>
      <c r="X311" s="9"/>
      <c r="Y311" s="9"/>
      <c r="Z311" s="9"/>
      <c r="AA311" s="9"/>
    </row>
    <row r="312" spans="1:27">
      <c r="A312" s="9"/>
      <c r="B312" s="9"/>
      <c r="C312" s="5"/>
      <c r="D312" s="5"/>
      <c r="E312" s="5"/>
      <c r="F312" s="9"/>
      <c r="G312" s="9"/>
      <c r="H312" s="9"/>
      <c r="I312" s="9"/>
      <c r="J312" s="9"/>
      <c r="K312" s="9"/>
      <c r="L312" s="9"/>
      <c r="M312" s="9"/>
      <c r="N312" s="9"/>
      <c r="O312" s="9"/>
      <c r="P312" s="9"/>
      <c r="Q312" s="9"/>
      <c r="R312" s="9"/>
      <c r="S312" s="9"/>
      <c r="T312" s="9"/>
      <c r="U312" s="9"/>
      <c r="V312" s="9"/>
      <c r="W312" s="9"/>
      <c r="X312" s="9"/>
      <c r="Y312" s="9"/>
      <c r="Z312" s="9"/>
      <c r="AA312" s="9"/>
    </row>
    <row r="313" spans="1:27">
      <c r="A313" s="9"/>
      <c r="B313" s="9"/>
      <c r="C313" s="5"/>
      <c r="D313" s="5"/>
      <c r="E313" s="5"/>
      <c r="F313" s="9"/>
      <c r="G313" s="9"/>
      <c r="H313" s="9"/>
      <c r="I313" s="9"/>
      <c r="J313" s="9"/>
      <c r="K313" s="9"/>
      <c r="L313" s="9"/>
      <c r="M313" s="9"/>
      <c r="N313" s="9"/>
      <c r="O313" s="9"/>
      <c r="P313" s="9"/>
      <c r="Q313" s="9"/>
      <c r="R313" s="9"/>
      <c r="S313" s="9"/>
      <c r="T313" s="9"/>
      <c r="U313" s="9"/>
      <c r="V313" s="9"/>
      <c r="W313" s="9"/>
      <c r="X313" s="9"/>
      <c r="Y313" s="9"/>
      <c r="Z313" s="9"/>
      <c r="AA313" s="9"/>
    </row>
    <row r="314" spans="1:27">
      <c r="A314" s="9"/>
      <c r="B314" s="9"/>
      <c r="C314" s="5"/>
      <c r="D314" s="5"/>
      <c r="E314" s="5"/>
      <c r="F314" s="9"/>
      <c r="G314" s="9"/>
      <c r="H314" s="9"/>
      <c r="I314" s="9"/>
      <c r="J314" s="9"/>
      <c r="K314" s="9"/>
      <c r="L314" s="9"/>
      <c r="M314" s="9"/>
      <c r="N314" s="9"/>
      <c r="O314" s="9"/>
      <c r="P314" s="9"/>
      <c r="Q314" s="9"/>
      <c r="R314" s="9"/>
      <c r="S314" s="9"/>
      <c r="T314" s="9"/>
      <c r="U314" s="9"/>
      <c r="V314" s="9"/>
      <c r="W314" s="9"/>
      <c r="X314" s="9"/>
      <c r="Y314" s="9"/>
      <c r="Z314" s="9"/>
      <c r="AA314" s="9"/>
    </row>
    <row r="315" spans="1:27">
      <c r="A315" s="9"/>
      <c r="B315" s="9"/>
      <c r="C315" s="5"/>
      <c r="D315" s="5"/>
      <c r="E315" s="5"/>
      <c r="F315" s="9"/>
      <c r="G315" s="9"/>
      <c r="H315" s="9"/>
      <c r="I315" s="9"/>
      <c r="J315" s="9"/>
      <c r="K315" s="9"/>
      <c r="L315" s="9"/>
      <c r="M315" s="9"/>
      <c r="N315" s="9"/>
      <c r="O315" s="9"/>
      <c r="P315" s="9"/>
      <c r="Q315" s="9"/>
      <c r="R315" s="9"/>
      <c r="S315" s="9"/>
      <c r="T315" s="9"/>
      <c r="U315" s="9"/>
      <c r="V315" s="9"/>
      <c r="W315" s="9"/>
      <c r="X315" s="9"/>
      <c r="Y315" s="9"/>
      <c r="Z315" s="9"/>
      <c r="AA315" s="9"/>
    </row>
    <row r="316" spans="1:27">
      <c r="A316" s="9"/>
      <c r="B316" s="9"/>
      <c r="C316" s="5"/>
      <c r="D316" s="5"/>
      <c r="E316" s="5"/>
      <c r="F316" s="9"/>
      <c r="G316" s="9"/>
      <c r="H316" s="9"/>
      <c r="I316" s="9"/>
      <c r="J316" s="9"/>
      <c r="K316" s="9"/>
      <c r="L316" s="9"/>
      <c r="M316" s="9"/>
      <c r="N316" s="9"/>
      <c r="O316" s="9"/>
      <c r="P316" s="9"/>
      <c r="Q316" s="9"/>
      <c r="R316" s="9"/>
      <c r="S316" s="9"/>
      <c r="T316" s="9"/>
      <c r="U316" s="9"/>
      <c r="V316" s="9"/>
      <c r="W316" s="9"/>
      <c r="X316" s="9"/>
      <c r="Y316" s="9"/>
      <c r="Z316" s="9"/>
      <c r="AA316" s="9"/>
    </row>
    <row r="317" spans="1:27">
      <c r="A317" s="9"/>
      <c r="B317" s="9"/>
      <c r="C317" s="5"/>
      <c r="D317" s="5"/>
      <c r="E317" s="5"/>
      <c r="F317" s="9"/>
      <c r="G317" s="9"/>
      <c r="H317" s="9"/>
      <c r="I317" s="9"/>
      <c r="J317" s="9"/>
      <c r="K317" s="9"/>
      <c r="L317" s="9"/>
      <c r="M317" s="9"/>
      <c r="N317" s="9"/>
      <c r="O317" s="9"/>
      <c r="P317" s="9"/>
      <c r="Q317" s="9"/>
      <c r="R317" s="9"/>
      <c r="S317" s="9"/>
      <c r="T317" s="9"/>
      <c r="U317" s="9"/>
      <c r="V317" s="9"/>
      <c r="W317" s="9"/>
      <c r="X317" s="9"/>
      <c r="Y317" s="9"/>
      <c r="Z317" s="9"/>
      <c r="AA317" s="9"/>
    </row>
    <row r="318" spans="1:27">
      <c r="A318" s="9"/>
      <c r="B318" s="9"/>
      <c r="C318" s="5"/>
      <c r="D318" s="5"/>
      <c r="E318" s="5"/>
      <c r="F318" s="9"/>
      <c r="G318" s="9"/>
      <c r="H318" s="9"/>
      <c r="I318" s="9"/>
      <c r="J318" s="9"/>
      <c r="K318" s="9"/>
      <c r="L318" s="9"/>
      <c r="M318" s="9"/>
      <c r="N318" s="9"/>
      <c r="O318" s="9"/>
      <c r="P318" s="9"/>
      <c r="Q318" s="9"/>
      <c r="R318" s="9"/>
      <c r="S318" s="9"/>
      <c r="T318" s="9"/>
      <c r="U318" s="9"/>
      <c r="V318" s="9"/>
      <c r="W318" s="9"/>
      <c r="X318" s="9"/>
      <c r="Y318" s="9"/>
      <c r="Z318" s="9"/>
      <c r="AA318" s="9"/>
    </row>
    <row r="319" spans="1:27">
      <c r="A319" s="9"/>
      <c r="B319" s="9"/>
      <c r="C319" s="5"/>
      <c r="D319" s="5"/>
      <c r="E319" s="5"/>
      <c r="F319" s="9"/>
      <c r="G319" s="9"/>
      <c r="H319" s="9"/>
      <c r="I319" s="9"/>
      <c r="J319" s="9"/>
      <c r="K319" s="9"/>
      <c r="L319" s="9"/>
      <c r="M319" s="9"/>
      <c r="N319" s="9"/>
      <c r="O319" s="9"/>
      <c r="P319" s="9"/>
      <c r="Q319" s="9"/>
      <c r="R319" s="9"/>
      <c r="S319" s="9"/>
      <c r="T319" s="9"/>
      <c r="U319" s="9"/>
      <c r="V319" s="9"/>
      <c r="W319" s="9"/>
      <c r="X319" s="9"/>
      <c r="Y319" s="9"/>
      <c r="Z319" s="9"/>
      <c r="AA319" s="9"/>
    </row>
    <row r="320" spans="1:27">
      <c r="A320" s="9"/>
      <c r="B320" s="9"/>
      <c r="C320" s="5"/>
      <c r="D320" s="5"/>
      <c r="E320" s="5"/>
      <c r="F320" s="9"/>
      <c r="G320" s="9"/>
      <c r="H320" s="9"/>
      <c r="I320" s="9"/>
      <c r="J320" s="9"/>
      <c r="K320" s="9"/>
      <c r="L320" s="9"/>
      <c r="M320" s="9"/>
      <c r="N320" s="9"/>
      <c r="O320" s="9"/>
      <c r="P320" s="9"/>
      <c r="Q320" s="9"/>
      <c r="R320" s="9"/>
      <c r="S320" s="9"/>
      <c r="T320" s="9"/>
      <c r="U320" s="9"/>
      <c r="V320" s="9"/>
      <c r="W320" s="9"/>
      <c r="X320" s="9"/>
      <c r="Y320" s="9"/>
      <c r="Z320" s="9"/>
      <c r="AA320" s="9"/>
    </row>
    <row r="321" spans="1:27">
      <c r="A321" s="9"/>
      <c r="B321" s="9"/>
      <c r="C321" s="5"/>
      <c r="D321" s="5"/>
      <c r="E321" s="5"/>
      <c r="F321" s="9"/>
      <c r="G321" s="9"/>
      <c r="H321" s="9"/>
      <c r="I321" s="9"/>
      <c r="J321" s="9"/>
      <c r="K321" s="9"/>
      <c r="L321" s="9"/>
      <c r="M321" s="9"/>
      <c r="N321" s="9"/>
      <c r="O321" s="9"/>
      <c r="P321" s="9"/>
      <c r="Q321" s="9"/>
      <c r="R321" s="9"/>
      <c r="S321" s="9"/>
      <c r="T321" s="9"/>
      <c r="U321" s="9"/>
      <c r="V321" s="9"/>
      <c r="W321" s="9"/>
      <c r="X321" s="9"/>
      <c r="Y321" s="9"/>
      <c r="Z321" s="9"/>
      <c r="AA321" s="9"/>
    </row>
    <row r="322" spans="1:27">
      <c r="A322" s="9"/>
      <c r="B322" s="9"/>
      <c r="C322" s="5"/>
      <c r="D322" s="5"/>
      <c r="E322" s="5"/>
      <c r="F322" s="9"/>
      <c r="G322" s="9"/>
      <c r="H322" s="9"/>
      <c r="I322" s="9"/>
      <c r="J322" s="9"/>
      <c r="K322" s="9"/>
      <c r="L322" s="9"/>
      <c r="M322" s="9"/>
      <c r="N322" s="9"/>
      <c r="O322" s="9"/>
      <c r="P322" s="9"/>
      <c r="Q322" s="9"/>
      <c r="R322" s="9"/>
      <c r="S322" s="9"/>
      <c r="T322" s="9"/>
      <c r="U322" s="9"/>
      <c r="V322" s="9"/>
      <c r="W322" s="9"/>
      <c r="X322" s="9"/>
      <c r="Y322" s="9"/>
      <c r="Z322" s="9"/>
      <c r="AA322" s="9"/>
    </row>
    <row r="323" spans="1:27">
      <c r="A323" s="9"/>
      <c r="B323" s="9"/>
      <c r="C323" s="5"/>
      <c r="D323" s="5"/>
      <c r="E323" s="5"/>
      <c r="F323" s="9"/>
      <c r="G323" s="9"/>
      <c r="H323" s="9"/>
      <c r="I323" s="9"/>
      <c r="J323" s="9"/>
      <c r="K323" s="9"/>
      <c r="L323" s="9"/>
      <c r="M323" s="9"/>
      <c r="N323" s="9"/>
      <c r="O323" s="9"/>
      <c r="P323" s="9"/>
      <c r="Q323" s="9"/>
      <c r="R323" s="9"/>
      <c r="S323" s="9"/>
      <c r="T323" s="9"/>
      <c r="U323" s="9"/>
      <c r="V323" s="9"/>
      <c r="W323" s="9"/>
      <c r="X323" s="9"/>
      <c r="Y323" s="9"/>
      <c r="Z323" s="9"/>
      <c r="AA323" s="9"/>
    </row>
    <row r="324" spans="1:27">
      <c r="A324" s="9"/>
      <c r="B324" s="9"/>
      <c r="C324" s="5"/>
      <c r="D324" s="5"/>
      <c r="E324" s="5"/>
      <c r="F324" s="9"/>
      <c r="G324" s="9"/>
      <c r="H324" s="9"/>
      <c r="I324" s="9"/>
      <c r="J324" s="9"/>
      <c r="K324" s="9"/>
      <c r="L324" s="9"/>
      <c r="M324" s="9"/>
      <c r="N324" s="9"/>
      <c r="O324" s="9"/>
      <c r="P324" s="9"/>
      <c r="Q324" s="9"/>
      <c r="R324" s="9"/>
      <c r="S324" s="9"/>
      <c r="T324" s="9"/>
      <c r="U324" s="9"/>
      <c r="V324" s="9"/>
      <c r="W324" s="9"/>
      <c r="X324" s="9"/>
      <c r="Y324" s="9"/>
      <c r="Z324" s="9"/>
      <c r="AA324" s="9"/>
    </row>
    <row r="325" spans="1:27">
      <c r="A325" s="9"/>
      <c r="B325" s="9"/>
      <c r="C325" s="5"/>
      <c r="D325" s="5"/>
      <c r="E325" s="5"/>
      <c r="F325" s="9"/>
      <c r="G325" s="9"/>
      <c r="H325" s="9"/>
      <c r="I325" s="9"/>
      <c r="J325" s="9"/>
      <c r="K325" s="9"/>
      <c r="L325" s="9"/>
      <c r="M325" s="9"/>
      <c r="N325" s="9"/>
      <c r="O325" s="9"/>
      <c r="P325" s="9"/>
      <c r="Q325" s="9"/>
      <c r="R325" s="9"/>
      <c r="S325" s="9"/>
      <c r="T325" s="9"/>
      <c r="U325" s="9"/>
      <c r="V325" s="9"/>
      <c r="W325" s="9"/>
      <c r="X325" s="9"/>
      <c r="Y325" s="9"/>
      <c r="Z325" s="9"/>
      <c r="AA325" s="9"/>
    </row>
    <row r="326" spans="1:27">
      <c r="A326" s="9"/>
      <c r="B326" s="9"/>
      <c r="C326" s="5"/>
      <c r="D326" s="5"/>
      <c r="E326" s="5"/>
      <c r="F326" s="9"/>
      <c r="G326" s="9"/>
      <c r="H326" s="9"/>
      <c r="I326" s="9"/>
      <c r="J326" s="9"/>
      <c r="K326" s="9"/>
      <c r="L326" s="9"/>
      <c r="M326" s="9"/>
      <c r="N326" s="9"/>
      <c r="O326" s="9"/>
      <c r="P326" s="9"/>
      <c r="Q326" s="9"/>
      <c r="R326" s="9"/>
      <c r="S326" s="9"/>
      <c r="T326" s="9"/>
      <c r="U326" s="9"/>
      <c r="V326" s="9"/>
      <c r="W326" s="9"/>
      <c r="X326" s="9"/>
      <c r="Y326" s="9"/>
      <c r="Z326" s="9"/>
      <c r="AA326" s="9"/>
    </row>
    <row r="327" spans="1:27">
      <c r="A327" s="9"/>
      <c r="B327" s="9"/>
      <c r="C327" s="5"/>
      <c r="D327" s="5"/>
      <c r="E327" s="5"/>
      <c r="F327" s="9"/>
      <c r="G327" s="9"/>
      <c r="H327" s="9"/>
      <c r="I327" s="9"/>
      <c r="J327" s="9"/>
      <c r="K327" s="9"/>
      <c r="L327" s="9"/>
      <c r="M327" s="9"/>
      <c r="N327" s="9"/>
      <c r="O327" s="9"/>
      <c r="P327" s="9"/>
      <c r="Q327" s="9"/>
      <c r="R327" s="9"/>
      <c r="S327" s="9"/>
      <c r="T327" s="9"/>
      <c r="U327" s="9"/>
      <c r="V327" s="9"/>
      <c r="W327" s="9"/>
      <c r="X327" s="9"/>
      <c r="Y327" s="9"/>
      <c r="Z327" s="9"/>
      <c r="AA327" s="9"/>
    </row>
    <row r="328" spans="1:27">
      <c r="A328" s="9"/>
      <c r="B328" s="9"/>
      <c r="C328" s="5"/>
      <c r="D328" s="5"/>
      <c r="E328" s="5"/>
      <c r="F328" s="9"/>
      <c r="G328" s="9"/>
      <c r="H328" s="9"/>
      <c r="I328" s="9"/>
      <c r="J328" s="9"/>
      <c r="K328" s="9"/>
      <c r="L328" s="9"/>
      <c r="M328" s="9"/>
      <c r="N328" s="9"/>
      <c r="O328" s="9"/>
      <c r="P328" s="9"/>
      <c r="Q328" s="9"/>
      <c r="R328" s="9"/>
      <c r="S328" s="9"/>
      <c r="T328" s="9"/>
      <c r="U328" s="9"/>
      <c r="V328" s="9"/>
      <c r="W328" s="9"/>
      <c r="X328" s="9"/>
      <c r="Y328" s="9"/>
      <c r="Z328" s="9"/>
      <c r="AA328" s="9"/>
    </row>
    <row r="329" spans="1:27">
      <c r="A329" s="9"/>
      <c r="B329" s="9"/>
      <c r="C329" s="5"/>
      <c r="D329" s="5"/>
      <c r="E329" s="5"/>
      <c r="F329" s="9"/>
      <c r="G329" s="9"/>
      <c r="H329" s="9"/>
      <c r="I329" s="9"/>
      <c r="J329" s="9"/>
      <c r="K329" s="9"/>
      <c r="L329" s="9"/>
      <c r="M329" s="9"/>
      <c r="N329" s="9"/>
      <c r="O329" s="9"/>
      <c r="P329" s="9"/>
      <c r="Q329" s="9"/>
      <c r="R329" s="9"/>
      <c r="S329" s="9"/>
      <c r="T329" s="9"/>
      <c r="U329" s="9"/>
      <c r="V329" s="9"/>
      <c r="W329" s="9"/>
      <c r="X329" s="9"/>
      <c r="Y329" s="9"/>
      <c r="Z329" s="9"/>
      <c r="AA329" s="9"/>
    </row>
    <row r="330" spans="1:27">
      <c r="A330" s="9"/>
      <c r="B330" s="9"/>
      <c r="C330" s="5"/>
      <c r="D330" s="5"/>
      <c r="E330" s="5"/>
      <c r="F330" s="9"/>
      <c r="G330" s="9"/>
      <c r="H330" s="9"/>
      <c r="I330" s="9"/>
      <c r="J330" s="9"/>
      <c r="K330" s="9"/>
      <c r="L330" s="9"/>
      <c r="M330" s="9"/>
      <c r="N330" s="9"/>
      <c r="O330" s="9"/>
      <c r="P330" s="9"/>
      <c r="Q330" s="9"/>
      <c r="R330" s="9"/>
      <c r="S330" s="9"/>
      <c r="T330" s="9"/>
      <c r="U330" s="9"/>
      <c r="V330" s="9"/>
      <c r="W330" s="9"/>
      <c r="X330" s="9"/>
      <c r="Y330" s="9"/>
      <c r="Z330" s="9"/>
      <c r="AA330" s="9"/>
    </row>
    <row r="331" spans="1:27">
      <c r="A331" s="9"/>
      <c r="B331" s="9"/>
      <c r="C331" s="5"/>
      <c r="D331" s="5"/>
      <c r="E331" s="5"/>
      <c r="F331" s="9"/>
      <c r="G331" s="9"/>
      <c r="H331" s="9"/>
      <c r="I331" s="9"/>
      <c r="J331" s="9"/>
      <c r="K331" s="9"/>
      <c r="L331" s="9"/>
      <c r="M331" s="9"/>
      <c r="N331" s="9"/>
      <c r="O331" s="9"/>
      <c r="P331" s="9"/>
      <c r="Q331" s="9"/>
      <c r="R331" s="9"/>
      <c r="S331" s="9"/>
      <c r="T331" s="9"/>
      <c r="U331" s="9"/>
      <c r="V331" s="9"/>
      <c r="W331" s="9"/>
      <c r="X331" s="9"/>
      <c r="Y331" s="9"/>
      <c r="Z331" s="9"/>
      <c r="AA331" s="9"/>
    </row>
    <row r="332" spans="1:27">
      <c r="A332" s="9"/>
      <c r="B332" s="9"/>
      <c r="C332" s="5"/>
      <c r="D332" s="5"/>
      <c r="E332" s="5"/>
      <c r="F332" s="9"/>
      <c r="G332" s="9"/>
      <c r="H332" s="9"/>
      <c r="I332" s="9"/>
      <c r="J332" s="9"/>
      <c r="K332" s="9"/>
      <c r="L332" s="9"/>
      <c r="M332" s="9"/>
      <c r="N332" s="9"/>
      <c r="O332" s="9"/>
      <c r="P332" s="9"/>
      <c r="Q332" s="9"/>
      <c r="R332" s="9"/>
      <c r="S332" s="9"/>
      <c r="T332" s="9"/>
      <c r="U332" s="9"/>
      <c r="V332" s="9"/>
      <c r="W332" s="9"/>
      <c r="X332" s="9"/>
      <c r="Y332" s="9"/>
      <c r="Z332" s="9"/>
      <c r="AA332" s="9"/>
    </row>
    <row r="333" spans="1:27">
      <c r="A333" s="9"/>
      <c r="B333" s="9"/>
      <c r="C333" s="5"/>
      <c r="D333" s="5"/>
      <c r="E333" s="5"/>
      <c r="F333" s="9"/>
      <c r="G333" s="9"/>
      <c r="H333" s="9"/>
      <c r="I333" s="9"/>
      <c r="J333" s="9"/>
      <c r="K333" s="9"/>
      <c r="L333" s="9"/>
      <c r="M333" s="9"/>
      <c r="N333" s="9"/>
      <c r="O333" s="9"/>
      <c r="P333" s="9"/>
      <c r="Q333" s="9"/>
      <c r="R333" s="9"/>
      <c r="S333" s="9"/>
      <c r="T333" s="9"/>
      <c r="U333" s="9"/>
      <c r="V333" s="9"/>
      <c r="W333" s="9"/>
      <c r="X333" s="9"/>
      <c r="Y333" s="9"/>
      <c r="Z333" s="9"/>
      <c r="AA333" s="9"/>
    </row>
    <row r="334" spans="1:27">
      <c r="A334" s="9"/>
      <c r="B334" s="9"/>
      <c r="C334" s="5"/>
      <c r="D334" s="5"/>
      <c r="E334" s="5"/>
      <c r="F334" s="9"/>
      <c r="G334" s="9"/>
      <c r="H334" s="9"/>
      <c r="I334" s="9"/>
      <c r="J334" s="9"/>
      <c r="K334" s="9"/>
      <c r="L334" s="9"/>
      <c r="M334" s="9"/>
      <c r="N334" s="9"/>
      <c r="O334" s="9"/>
      <c r="P334" s="9"/>
      <c r="Q334" s="9"/>
      <c r="R334" s="9"/>
      <c r="S334" s="9"/>
      <c r="T334" s="9"/>
      <c r="U334" s="9"/>
      <c r="V334" s="9"/>
      <c r="W334" s="9"/>
      <c r="X334" s="9"/>
      <c r="Y334" s="9"/>
      <c r="Z334" s="9"/>
      <c r="AA334" s="9"/>
    </row>
    <row r="335" spans="1:27">
      <c r="A335" s="9"/>
      <c r="B335" s="9"/>
      <c r="C335" s="5"/>
      <c r="D335" s="5"/>
      <c r="E335" s="5"/>
      <c r="F335" s="9"/>
      <c r="G335" s="9"/>
      <c r="H335" s="9"/>
      <c r="I335" s="9"/>
      <c r="J335" s="9"/>
      <c r="K335" s="9"/>
      <c r="L335" s="9"/>
      <c r="M335" s="9"/>
      <c r="N335" s="9"/>
      <c r="O335" s="9"/>
      <c r="P335" s="9"/>
      <c r="Q335" s="9"/>
      <c r="R335" s="9"/>
      <c r="S335" s="9"/>
      <c r="T335" s="9"/>
      <c r="U335" s="9"/>
      <c r="V335" s="9"/>
      <c r="W335" s="9"/>
      <c r="X335" s="9"/>
      <c r="Y335" s="9"/>
      <c r="Z335" s="9"/>
      <c r="AA335" s="9"/>
    </row>
    <row r="336" spans="1:27">
      <c r="A336" s="9"/>
      <c r="B336" s="9"/>
      <c r="C336" s="5"/>
      <c r="D336" s="5"/>
      <c r="E336" s="5"/>
      <c r="F336" s="9"/>
      <c r="G336" s="9"/>
      <c r="H336" s="9"/>
      <c r="I336" s="9"/>
      <c r="J336" s="9"/>
      <c r="K336" s="9"/>
      <c r="L336" s="9"/>
      <c r="M336" s="9"/>
      <c r="N336" s="9"/>
      <c r="O336" s="9"/>
      <c r="P336" s="9"/>
      <c r="Q336" s="9"/>
      <c r="R336" s="9"/>
      <c r="S336" s="9"/>
      <c r="T336" s="9"/>
      <c r="U336" s="9"/>
      <c r="V336" s="9"/>
      <c r="W336" s="9"/>
      <c r="X336" s="9"/>
      <c r="Y336" s="9"/>
      <c r="Z336" s="9"/>
      <c r="AA336" s="9"/>
    </row>
    <row r="337" spans="1:27">
      <c r="A337" s="9"/>
      <c r="B337" s="9"/>
      <c r="C337" s="5"/>
      <c r="D337" s="5"/>
      <c r="E337" s="5"/>
      <c r="F337" s="9"/>
      <c r="G337" s="9"/>
      <c r="H337" s="9"/>
      <c r="I337" s="9"/>
      <c r="J337" s="9"/>
      <c r="K337" s="9"/>
      <c r="L337" s="9"/>
      <c r="M337" s="9"/>
      <c r="N337" s="9"/>
      <c r="O337" s="9"/>
      <c r="P337" s="9"/>
      <c r="Q337" s="9"/>
      <c r="R337" s="9"/>
      <c r="S337" s="9"/>
      <c r="T337" s="9"/>
      <c r="U337" s="9"/>
      <c r="V337" s="9"/>
      <c r="W337" s="9"/>
      <c r="X337" s="9"/>
      <c r="Y337" s="9"/>
      <c r="Z337" s="9"/>
      <c r="AA337" s="9"/>
    </row>
    <row r="338" spans="1:27">
      <c r="A338" s="9"/>
      <c r="B338" s="9"/>
      <c r="C338" s="5"/>
      <c r="D338" s="5"/>
      <c r="E338" s="5"/>
      <c r="F338" s="9"/>
      <c r="G338" s="9"/>
      <c r="H338" s="9"/>
      <c r="I338" s="9"/>
      <c r="J338" s="9"/>
      <c r="K338" s="9"/>
      <c r="L338" s="9"/>
      <c r="M338" s="9"/>
      <c r="N338" s="9"/>
      <c r="O338" s="9"/>
      <c r="P338" s="9"/>
      <c r="Q338" s="9"/>
      <c r="R338" s="9"/>
      <c r="S338" s="9"/>
      <c r="T338" s="9"/>
      <c r="U338" s="9"/>
      <c r="V338" s="9"/>
      <c r="W338" s="9"/>
      <c r="X338" s="9"/>
      <c r="Y338" s="9"/>
      <c r="Z338" s="9"/>
      <c r="AA338" s="9"/>
    </row>
    <row r="339" spans="1:27">
      <c r="A339" s="9"/>
      <c r="B339" s="9"/>
      <c r="C339" s="5"/>
      <c r="D339" s="5"/>
      <c r="E339" s="5"/>
      <c r="F339" s="9"/>
      <c r="G339" s="9"/>
      <c r="H339" s="9"/>
      <c r="I339" s="9"/>
      <c r="J339" s="9"/>
      <c r="K339" s="9"/>
      <c r="L339" s="9"/>
      <c r="M339" s="9"/>
      <c r="N339" s="9"/>
      <c r="O339" s="9"/>
      <c r="P339" s="9"/>
      <c r="Q339" s="9"/>
      <c r="R339" s="9"/>
      <c r="S339" s="9"/>
      <c r="T339" s="9"/>
      <c r="U339" s="9"/>
      <c r="V339" s="9"/>
      <c r="W339" s="9"/>
      <c r="X339" s="9"/>
      <c r="Y339" s="9"/>
      <c r="Z339" s="9"/>
      <c r="AA339" s="9"/>
    </row>
    <row r="340" spans="1:27">
      <c r="A340" s="9"/>
      <c r="B340" s="9"/>
      <c r="C340" s="5"/>
      <c r="D340" s="5"/>
      <c r="E340" s="5"/>
      <c r="F340" s="9"/>
      <c r="G340" s="9"/>
      <c r="H340" s="9"/>
      <c r="I340" s="9"/>
      <c r="J340" s="9"/>
      <c r="K340" s="9"/>
      <c r="L340" s="9"/>
      <c r="M340" s="9"/>
      <c r="N340" s="9"/>
      <c r="O340" s="9"/>
      <c r="P340" s="9"/>
      <c r="Q340" s="9"/>
      <c r="R340" s="9"/>
      <c r="S340" s="9"/>
      <c r="T340" s="9"/>
      <c r="U340" s="9"/>
      <c r="V340" s="9"/>
      <c r="W340" s="9"/>
      <c r="X340" s="9"/>
      <c r="Y340" s="9"/>
      <c r="Z340" s="9"/>
      <c r="AA340" s="9"/>
    </row>
    <row r="341" spans="1:27">
      <c r="A341" s="9"/>
      <c r="B341" s="9"/>
      <c r="C341" s="5"/>
      <c r="D341" s="5"/>
      <c r="E341" s="5"/>
      <c r="F341" s="9"/>
      <c r="G341" s="9"/>
      <c r="H341" s="9"/>
      <c r="I341" s="9"/>
      <c r="J341" s="9"/>
      <c r="K341" s="9"/>
      <c r="L341" s="9"/>
      <c r="M341" s="9"/>
      <c r="N341" s="9"/>
      <c r="O341" s="9"/>
      <c r="P341" s="9"/>
      <c r="Q341" s="9"/>
      <c r="R341" s="9"/>
      <c r="S341" s="9"/>
      <c r="T341" s="9"/>
      <c r="U341" s="9"/>
      <c r="V341" s="9"/>
      <c r="W341" s="9"/>
      <c r="X341" s="9"/>
      <c r="Y341" s="9"/>
      <c r="Z341" s="9"/>
      <c r="AA341" s="9"/>
    </row>
    <row r="342" spans="1:27">
      <c r="A342" s="9"/>
      <c r="B342" s="9"/>
      <c r="C342" s="5"/>
      <c r="D342" s="5"/>
      <c r="E342" s="5"/>
      <c r="F342" s="9"/>
      <c r="G342" s="9"/>
      <c r="H342" s="9"/>
      <c r="I342" s="9"/>
      <c r="J342" s="9"/>
      <c r="K342" s="9"/>
      <c r="L342" s="9"/>
      <c r="M342" s="9"/>
      <c r="N342" s="9"/>
      <c r="O342" s="9"/>
      <c r="P342" s="9"/>
      <c r="Q342" s="9"/>
      <c r="R342" s="9"/>
      <c r="S342" s="9"/>
      <c r="T342" s="9"/>
      <c r="U342" s="9"/>
      <c r="V342" s="9"/>
      <c r="W342" s="9"/>
      <c r="X342" s="9"/>
      <c r="Y342" s="9"/>
      <c r="Z342" s="9"/>
      <c r="AA342" s="9"/>
    </row>
    <row r="343" spans="1:27">
      <c r="A343" s="9"/>
      <c r="B343" s="9"/>
      <c r="C343" s="5"/>
      <c r="D343" s="5"/>
      <c r="E343" s="5"/>
      <c r="F343" s="9"/>
      <c r="G343" s="9"/>
      <c r="H343" s="9"/>
      <c r="I343" s="9"/>
      <c r="J343" s="9"/>
      <c r="K343" s="9"/>
      <c r="L343" s="9"/>
      <c r="M343" s="9"/>
      <c r="N343" s="9"/>
      <c r="O343" s="9"/>
      <c r="P343" s="9"/>
      <c r="Q343" s="9"/>
      <c r="R343" s="9"/>
      <c r="S343" s="9"/>
      <c r="T343" s="9"/>
      <c r="U343" s="9"/>
      <c r="V343" s="9"/>
      <c r="W343" s="9"/>
      <c r="X343" s="9"/>
      <c r="Y343" s="9"/>
      <c r="Z343" s="9"/>
      <c r="AA343" s="9"/>
    </row>
    <row r="344" spans="1:27">
      <c r="A344" s="9"/>
      <c r="B344" s="9"/>
      <c r="C344" s="5"/>
      <c r="D344" s="5"/>
      <c r="E344" s="5"/>
      <c r="F344" s="9"/>
      <c r="G344" s="9"/>
      <c r="H344" s="9"/>
      <c r="I344" s="9"/>
      <c r="J344" s="9"/>
      <c r="K344" s="9"/>
      <c r="L344" s="9"/>
      <c r="M344" s="9"/>
      <c r="N344" s="9"/>
      <c r="O344" s="9"/>
      <c r="P344" s="9"/>
      <c r="Q344" s="9"/>
      <c r="R344" s="9"/>
      <c r="S344" s="9"/>
      <c r="T344" s="9"/>
      <c r="U344" s="9"/>
      <c r="V344" s="9"/>
      <c r="W344" s="9"/>
      <c r="X344" s="9"/>
      <c r="Y344" s="9"/>
      <c r="Z344" s="9"/>
      <c r="AA344" s="9"/>
    </row>
    <row r="345" spans="1:27">
      <c r="A345" s="9"/>
      <c r="B345" s="9"/>
      <c r="C345" s="5"/>
      <c r="D345" s="5"/>
      <c r="E345" s="5"/>
      <c r="F345" s="9"/>
      <c r="G345" s="9"/>
      <c r="H345" s="9"/>
      <c r="I345" s="9"/>
      <c r="J345" s="9"/>
      <c r="K345" s="9"/>
      <c r="L345" s="9"/>
      <c r="M345" s="9"/>
      <c r="N345" s="9"/>
      <c r="O345" s="9"/>
      <c r="P345" s="9"/>
      <c r="Q345" s="9"/>
      <c r="R345" s="9"/>
      <c r="S345" s="9"/>
      <c r="T345" s="9"/>
      <c r="U345" s="9"/>
      <c r="V345" s="9"/>
      <c r="W345" s="9"/>
      <c r="X345" s="9"/>
      <c r="Y345" s="9"/>
      <c r="Z345" s="9"/>
      <c r="AA345" s="9"/>
    </row>
    <row r="346" spans="1:27">
      <c r="A346" s="9"/>
      <c r="B346" s="9"/>
      <c r="C346" s="5"/>
      <c r="D346" s="5"/>
      <c r="E346" s="5"/>
      <c r="F346" s="9"/>
      <c r="G346" s="9"/>
      <c r="H346" s="9"/>
      <c r="I346" s="9"/>
      <c r="J346" s="9"/>
      <c r="K346" s="9"/>
      <c r="L346" s="9"/>
      <c r="M346" s="9"/>
      <c r="N346" s="9"/>
      <c r="O346" s="9"/>
      <c r="P346" s="9"/>
      <c r="Q346" s="9"/>
      <c r="R346" s="9"/>
      <c r="S346" s="9"/>
      <c r="T346" s="9"/>
      <c r="U346" s="9"/>
      <c r="V346" s="9"/>
      <c r="W346" s="9"/>
      <c r="X346" s="9"/>
      <c r="Y346" s="9"/>
      <c r="Z346" s="9"/>
      <c r="AA346" s="9"/>
    </row>
    <row r="347" spans="1:27">
      <c r="A347" s="9"/>
      <c r="B347" s="9"/>
      <c r="C347" s="5"/>
      <c r="D347" s="5"/>
      <c r="E347" s="5"/>
      <c r="F347" s="9"/>
      <c r="G347" s="9"/>
      <c r="H347" s="9"/>
      <c r="I347" s="9"/>
      <c r="J347" s="9"/>
      <c r="K347" s="9"/>
      <c r="L347" s="9"/>
      <c r="M347" s="9"/>
      <c r="N347" s="9"/>
      <c r="O347" s="9"/>
      <c r="P347" s="9"/>
      <c r="Q347" s="9"/>
      <c r="R347" s="9"/>
      <c r="S347" s="9"/>
      <c r="T347" s="9"/>
      <c r="U347" s="9"/>
      <c r="V347" s="9"/>
      <c r="W347" s="9"/>
      <c r="X347" s="9"/>
      <c r="Y347" s="9"/>
      <c r="Z347" s="9"/>
      <c r="AA347" s="9"/>
    </row>
    <row r="348" spans="1:27">
      <c r="A348" s="9"/>
      <c r="B348" s="9"/>
      <c r="C348" s="5"/>
      <c r="D348" s="5"/>
      <c r="E348" s="5"/>
      <c r="F348" s="9"/>
      <c r="G348" s="9"/>
      <c r="H348" s="9"/>
      <c r="I348" s="9"/>
      <c r="J348" s="9"/>
      <c r="K348" s="9"/>
      <c r="L348" s="9"/>
      <c r="M348" s="9"/>
      <c r="N348" s="9"/>
      <c r="O348" s="9"/>
      <c r="P348" s="9"/>
      <c r="Q348" s="9"/>
      <c r="R348" s="9"/>
      <c r="S348" s="9"/>
      <c r="T348" s="9"/>
      <c r="U348" s="9"/>
      <c r="V348" s="9"/>
      <c r="W348" s="9"/>
      <c r="X348" s="9"/>
      <c r="Y348" s="9"/>
      <c r="Z348" s="9"/>
      <c r="AA348" s="9"/>
    </row>
    <row r="349" spans="1:27">
      <c r="A349" s="9"/>
      <c r="B349" s="9"/>
      <c r="C349" s="5"/>
      <c r="D349" s="5"/>
      <c r="E349" s="5"/>
      <c r="F349" s="9"/>
      <c r="G349" s="9"/>
      <c r="H349" s="9"/>
      <c r="I349" s="9"/>
      <c r="J349" s="9"/>
      <c r="K349" s="9"/>
      <c r="L349" s="9"/>
      <c r="M349" s="9"/>
      <c r="N349" s="9"/>
      <c r="O349" s="9"/>
      <c r="P349" s="9"/>
      <c r="Q349" s="9"/>
      <c r="R349" s="9"/>
      <c r="S349" s="9"/>
      <c r="T349" s="9"/>
      <c r="U349" s="9"/>
      <c r="V349" s="9"/>
      <c r="W349" s="9"/>
      <c r="X349" s="9"/>
      <c r="Y349" s="9"/>
      <c r="Z349" s="9"/>
      <c r="AA349" s="9"/>
    </row>
    <row r="350" spans="1:27">
      <c r="A350" s="9"/>
      <c r="B350" s="9"/>
      <c r="C350" s="5"/>
      <c r="D350" s="5"/>
      <c r="E350" s="5"/>
      <c r="F350" s="9"/>
      <c r="G350" s="9"/>
      <c r="H350" s="9"/>
      <c r="I350" s="9"/>
      <c r="J350" s="9"/>
      <c r="K350" s="9"/>
      <c r="L350" s="9"/>
      <c r="M350" s="9"/>
      <c r="N350" s="9"/>
      <c r="O350" s="9"/>
      <c r="P350" s="9"/>
      <c r="Q350" s="9"/>
      <c r="R350" s="9"/>
      <c r="S350" s="9"/>
      <c r="T350" s="9"/>
      <c r="U350" s="9"/>
      <c r="V350" s="9"/>
      <c r="W350" s="9"/>
      <c r="X350" s="9"/>
      <c r="Y350" s="9"/>
      <c r="Z350" s="9"/>
      <c r="AA350" s="9"/>
    </row>
    <row r="351" spans="1:27">
      <c r="A351" s="9"/>
      <c r="B351" s="9"/>
      <c r="C351" s="5"/>
      <c r="D351" s="5"/>
      <c r="E351" s="5"/>
      <c r="F351" s="9"/>
      <c r="G351" s="9"/>
      <c r="H351" s="9"/>
      <c r="I351" s="9"/>
      <c r="J351" s="9"/>
      <c r="K351" s="9"/>
      <c r="L351" s="9"/>
      <c r="M351" s="9"/>
      <c r="N351" s="9"/>
      <c r="O351" s="9"/>
      <c r="P351" s="9"/>
      <c r="Q351" s="9"/>
      <c r="R351" s="9"/>
      <c r="S351" s="9"/>
      <c r="T351" s="9"/>
      <c r="U351" s="9"/>
      <c r="V351" s="9"/>
      <c r="W351" s="9"/>
      <c r="X351" s="9"/>
      <c r="Y351" s="9"/>
      <c r="Z351" s="9"/>
      <c r="AA351" s="9"/>
    </row>
    <row r="352" spans="1:27">
      <c r="A352" s="9"/>
      <c r="B352" s="9"/>
      <c r="C352" s="5"/>
      <c r="D352" s="5"/>
      <c r="E352" s="5"/>
      <c r="F352" s="9"/>
      <c r="G352" s="9"/>
      <c r="H352" s="9"/>
      <c r="I352" s="9"/>
      <c r="J352" s="9"/>
      <c r="K352" s="9"/>
      <c r="L352" s="9"/>
      <c r="M352" s="9"/>
      <c r="N352" s="9"/>
      <c r="O352" s="9"/>
      <c r="P352" s="9"/>
      <c r="Q352" s="9"/>
      <c r="R352" s="9"/>
      <c r="S352" s="9"/>
      <c r="T352" s="9"/>
      <c r="U352" s="9"/>
      <c r="V352" s="9"/>
      <c r="W352" s="9"/>
      <c r="X352" s="9"/>
      <c r="Y352" s="9"/>
      <c r="Z352" s="9"/>
      <c r="AA352" s="9"/>
    </row>
    <row r="353" spans="1:27">
      <c r="A353" s="9"/>
      <c r="B353" s="9"/>
      <c r="C353" s="5"/>
      <c r="D353" s="5"/>
      <c r="E353" s="5"/>
      <c r="F353" s="9"/>
      <c r="G353" s="9"/>
      <c r="H353" s="9"/>
      <c r="I353" s="9"/>
      <c r="J353" s="9"/>
      <c r="K353" s="9"/>
      <c r="L353" s="9"/>
      <c r="M353" s="9"/>
      <c r="N353" s="9"/>
      <c r="O353" s="9"/>
      <c r="P353" s="9"/>
      <c r="Q353" s="9"/>
      <c r="R353" s="9"/>
      <c r="S353" s="9"/>
      <c r="T353" s="9"/>
      <c r="U353" s="9"/>
      <c r="V353" s="9"/>
      <c r="W353" s="9"/>
      <c r="X353" s="9"/>
      <c r="Y353" s="9"/>
      <c r="Z353" s="9"/>
      <c r="AA353" s="9"/>
    </row>
    <row r="354" spans="1:27">
      <c r="A354" s="9"/>
      <c r="B354" s="9"/>
      <c r="C354" s="5"/>
      <c r="D354" s="5"/>
      <c r="E354" s="5"/>
      <c r="F354" s="9"/>
      <c r="G354" s="9"/>
      <c r="H354" s="9"/>
      <c r="I354" s="9"/>
      <c r="J354" s="9"/>
      <c r="K354" s="9"/>
      <c r="L354" s="9"/>
      <c r="M354" s="9"/>
      <c r="N354" s="9"/>
      <c r="O354" s="9"/>
      <c r="P354" s="9"/>
      <c r="Q354" s="9"/>
      <c r="R354" s="9"/>
      <c r="S354" s="9"/>
      <c r="T354" s="9"/>
      <c r="U354" s="9"/>
      <c r="V354" s="9"/>
      <c r="W354" s="9"/>
      <c r="X354" s="9"/>
      <c r="Y354" s="9"/>
      <c r="Z354" s="9"/>
      <c r="AA354" s="9"/>
    </row>
    <row r="355" spans="1:27">
      <c r="A355" s="9"/>
      <c r="B355" s="9"/>
      <c r="C355" s="5"/>
      <c r="D355" s="5"/>
      <c r="E355" s="5"/>
      <c r="F355" s="9"/>
      <c r="G355" s="9"/>
      <c r="H355" s="9"/>
      <c r="I355" s="9"/>
      <c r="J355" s="9"/>
      <c r="K355" s="9"/>
      <c r="L355" s="9"/>
      <c r="M355" s="9"/>
      <c r="N355" s="9"/>
      <c r="O355" s="9"/>
      <c r="P355" s="9"/>
      <c r="Q355" s="9"/>
      <c r="R355" s="9"/>
      <c r="S355" s="9"/>
      <c r="T355" s="9"/>
      <c r="U355" s="9"/>
      <c r="V355" s="9"/>
      <c r="W355" s="9"/>
      <c r="X355" s="9"/>
      <c r="Y355" s="9"/>
      <c r="Z355" s="9"/>
      <c r="AA355" s="9"/>
    </row>
    <row r="356" spans="1:27">
      <c r="A356" s="9"/>
      <c r="B356" s="9"/>
      <c r="C356" s="5"/>
      <c r="D356" s="5"/>
      <c r="E356" s="5"/>
      <c r="F356" s="9"/>
      <c r="G356" s="9"/>
      <c r="H356" s="9"/>
      <c r="I356" s="9"/>
      <c r="J356" s="9"/>
      <c r="K356" s="9"/>
      <c r="L356" s="9"/>
      <c r="M356" s="9"/>
      <c r="N356" s="9"/>
      <c r="O356" s="9"/>
      <c r="P356" s="9"/>
      <c r="Q356" s="9"/>
      <c r="R356" s="9"/>
      <c r="S356" s="9"/>
      <c r="T356" s="9"/>
      <c r="U356" s="9"/>
      <c r="V356" s="9"/>
      <c r="W356" s="9"/>
      <c r="X356" s="9"/>
      <c r="Y356" s="9"/>
      <c r="Z356" s="9"/>
      <c r="AA356" s="9"/>
    </row>
    <row r="357" spans="1:27">
      <c r="A357" s="9"/>
      <c r="B357" s="9"/>
      <c r="C357" s="5"/>
      <c r="D357" s="5"/>
      <c r="E357" s="5"/>
      <c r="F357" s="9"/>
      <c r="G357" s="9"/>
      <c r="H357" s="9"/>
      <c r="I357" s="9"/>
      <c r="J357" s="9"/>
      <c r="K357" s="9"/>
      <c r="L357" s="9"/>
      <c r="M357" s="9"/>
      <c r="N357" s="9"/>
      <c r="O357" s="9"/>
      <c r="P357" s="9"/>
      <c r="Q357" s="9"/>
      <c r="R357" s="9"/>
      <c r="S357" s="9"/>
      <c r="T357" s="9"/>
      <c r="U357" s="9"/>
      <c r="V357" s="9"/>
      <c r="W357" s="9"/>
      <c r="X357" s="9"/>
      <c r="Y357" s="9"/>
      <c r="Z357" s="9"/>
      <c r="AA357" s="9"/>
    </row>
    <row r="358" spans="1:27">
      <c r="A358" s="9"/>
      <c r="B358" s="9"/>
      <c r="C358" s="5"/>
      <c r="D358" s="5"/>
      <c r="E358" s="5"/>
      <c r="F358" s="9"/>
      <c r="G358" s="9"/>
      <c r="H358" s="9"/>
      <c r="I358" s="9"/>
      <c r="J358" s="9"/>
      <c r="K358" s="9"/>
      <c r="L358" s="9"/>
      <c r="M358" s="9"/>
      <c r="N358" s="9"/>
      <c r="O358" s="9"/>
      <c r="P358" s="9"/>
      <c r="Q358" s="9"/>
      <c r="R358" s="9"/>
      <c r="S358" s="9"/>
      <c r="T358" s="9"/>
      <c r="U358" s="9"/>
      <c r="V358" s="9"/>
      <c r="W358" s="9"/>
      <c r="X358" s="9"/>
      <c r="Y358" s="9"/>
      <c r="Z358" s="9"/>
      <c r="AA358" s="9"/>
    </row>
    <row r="359" spans="1:27">
      <c r="A359" s="9"/>
      <c r="B359" s="9"/>
      <c r="C359" s="5"/>
      <c r="D359" s="5"/>
      <c r="E359" s="5"/>
      <c r="F359" s="9"/>
      <c r="G359" s="9"/>
      <c r="H359" s="9"/>
      <c r="I359" s="9"/>
      <c r="J359" s="9"/>
      <c r="K359" s="9"/>
      <c r="L359" s="9"/>
      <c r="M359" s="9"/>
      <c r="N359" s="9"/>
      <c r="O359" s="9"/>
      <c r="P359" s="9"/>
      <c r="Q359" s="9"/>
      <c r="R359" s="9"/>
      <c r="S359" s="9"/>
      <c r="T359" s="9"/>
      <c r="U359" s="9"/>
      <c r="V359" s="9"/>
      <c r="W359" s="9"/>
      <c r="X359" s="9"/>
      <c r="Y359" s="9"/>
      <c r="Z359" s="9"/>
      <c r="AA359" s="9"/>
    </row>
    <row r="360" spans="1:27">
      <c r="A360" s="9"/>
      <c r="B360" s="9"/>
      <c r="C360" s="5"/>
      <c r="D360" s="5"/>
      <c r="E360" s="5"/>
      <c r="F360" s="9"/>
      <c r="G360" s="9"/>
      <c r="H360" s="9"/>
      <c r="I360" s="9"/>
      <c r="J360" s="9"/>
      <c r="K360" s="9"/>
      <c r="L360" s="9"/>
      <c r="M360" s="9"/>
      <c r="N360" s="9"/>
      <c r="O360" s="9"/>
      <c r="P360" s="9"/>
      <c r="Q360" s="9"/>
      <c r="R360" s="9"/>
      <c r="S360" s="9"/>
      <c r="T360" s="9"/>
      <c r="U360" s="9"/>
      <c r="V360" s="9"/>
      <c r="W360" s="9"/>
      <c r="X360" s="9"/>
      <c r="Y360" s="9"/>
      <c r="Z360" s="9"/>
      <c r="AA360" s="9"/>
    </row>
    <row r="361" spans="1:27">
      <c r="A361" s="9"/>
      <c r="B361" s="9"/>
      <c r="C361" s="5"/>
      <c r="D361" s="5"/>
      <c r="E361" s="5"/>
      <c r="F361" s="9"/>
      <c r="G361" s="9"/>
      <c r="H361" s="9"/>
      <c r="I361" s="9"/>
      <c r="J361" s="9"/>
      <c r="K361" s="9"/>
      <c r="L361" s="9"/>
      <c r="M361" s="9"/>
      <c r="N361" s="9"/>
      <c r="O361" s="9"/>
      <c r="P361" s="9"/>
      <c r="Q361" s="9"/>
      <c r="R361" s="9"/>
      <c r="S361" s="9"/>
      <c r="T361" s="9"/>
      <c r="U361" s="9"/>
      <c r="V361" s="9"/>
      <c r="W361" s="9"/>
      <c r="X361" s="9"/>
      <c r="Y361" s="9"/>
      <c r="Z361" s="9"/>
      <c r="AA361" s="9"/>
    </row>
    <row r="362" spans="1:27">
      <c r="A362" s="9"/>
      <c r="B362" s="9"/>
      <c r="C362" s="5"/>
      <c r="D362" s="5"/>
      <c r="E362" s="5"/>
      <c r="F362" s="9"/>
      <c r="G362" s="9"/>
      <c r="H362" s="9"/>
      <c r="I362" s="9"/>
      <c r="J362" s="9"/>
      <c r="K362" s="9"/>
      <c r="L362" s="9"/>
      <c r="M362" s="9"/>
      <c r="N362" s="9"/>
      <c r="O362" s="9"/>
      <c r="P362" s="9"/>
      <c r="Q362" s="9"/>
      <c r="R362" s="9"/>
      <c r="S362" s="9"/>
      <c r="T362" s="9"/>
      <c r="U362" s="9"/>
      <c r="V362" s="9"/>
      <c r="W362" s="9"/>
      <c r="X362" s="9"/>
      <c r="Y362" s="9"/>
      <c r="Z362" s="9"/>
      <c r="AA362" s="9"/>
    </row>
    <row r="363" spans="1:27">
      <c r="A363" s="9"/>
      <c r="B363" s="9"/>
      <c r="C363" s="5"/>
      <c r="D363" s="5"/>
      <c r="E363" s="5"/>
      <c r="F363" s="9"/>
      <c r="G363" s="9"/>
      <c r="H363" s="9"/>
      <c r="I363" s="9"/>
      <c r="J363" s="9"/>
      <c r="K363" s="9"/>
      <c r="L363" s="9"/>
      <c r="M363" s="9"/>
      <c r="N363" s="9"/>
      <c r="O363" s="9"/>
      <c r="P363" s="9"/>
      <c r="Q363" s="9"/>
      <c r="R363" s="9"/>
      <c r="S363" s="9"/>
      <c r="T363" s="9"/>
      <c r="U363" s="9"/>
      <c r="V363" s="9"/>
      <c r="W363" s="9"/>
      <c r="X363" s="9"/>
      <c r="Y363" s="9"/>
      <c r="Z363" s="9"/>
      <c r="AA363" s="9"/>
    </row>
    <row r="364" spans="1:27">
      <c r="A364" s="9"/>
      <c r="B364" s="9"/>
      <c r="C364" s="5"/>
      <c r="D364" s="5"/>
      <c r="E364" s="5"/>
      <c r="F364" s="9"/>
      <c r="G364" s="9"/>
      <c r="H364" s="9"/>
      <c r="I364" s="9"/>
      <c r="J364" s="9"/>
      <c r="K364" s="9"/>
      <c r="L364" s="9"/>
      <c r="M364" s="9"/>
      <c r="N364" s="9"/>
      <c r="O364" s="9"/>
      <c r="P364" s="9"/>
      <c r="Q364" s="9"/>
      <c r="R364" s="9"/>
      <c r="S364" s="9"/>
      <c r="T364" s="9"/>
      <c r="U364" s="9"/>
      <c r="V364" s="9"/>
      <c r="W364" s="9"/>
      <c r="X364" s="9"/>
      <c r="Y364" s="9"/>
      <c r="Z364" s="9"/>
      <c r="AA364" s="9"/>
    </row>
    <row r="365" spans="1:27">
      <c r="A365" s="9"/>
      <c r="B365" s="9"/>
      <c r="C365" s="5"/>
      <c r="D365" s="5"/>
      <c r="E365" s="5"/>
      <c r="F365" s="9"/>
      <c r="G365" s="9"/>
      <c r="H365" s="9"/>
      <c r="I365" s="9"/>
      <c r="J365" s="9"/>
      <c r="K365" s="9"/>
      <c r="L365" s="9"/>
      <c r="M365" s="9"/>
      <c r="N365" s="9"/>
      <c r="O365" s="9"/>
      <c r="P365" s="9"/>
      <c r="Q365" s="9"/>
      <c r="R365" s="9"/>
      <c r="S365" s="9"/>
      <c r="T365" s="9"/>
      <c r="U365" s="9"/>
      <c r="V365" s="9"/>
      <c r="W365" s="9"/>
      <c r="X365" s="9"/>
      <c r="Y365" s="9"/>
      <c r="Z365" s="9"/>
      <c r="AA365" s="9"/>
    </row>
    <row r="366" spans="1:27">
      <c r="A366" s="9"/>
      <c r="B366" s="9"/>
      <c r="C366" s="5"/>
      <c r="D366" s="5"/>
      <c r="E366" s="5"/>
      <c r="F366" s="9"/>
      <c r="G366" s="9"/>
      <c r="H366" s="9"/>
      <c r="I366" s="9"/>
      <c r="J366" s="9"/>
      <c r="K366" s="9"/>
      <c r="L366" s="9"/>
      <c r="M366" s="9"/>
      <c r="N366" s="9"/>
      <c r="O366" s="9"/>
      <c r="P366" s="9"/>
      <c r="Q366" s="9"/>
      <c r="R366" s="9"/>
      <c r="S366" s="9"/>
      <c r="T366" s="9"/>
      <c r="U366" s="9"/>
      <c r="V366" s="9"/>
      <c r="W366" s="9"/>
      <c r="X366" s="9"/>
      <c r="Y366" s="9"/>
      <c r="Z366" s="9"/>
      <c r="AA366" s="9"/>
    </row>
    <row r="367" spans="1:27">
      <c r="A367" s="9"/>
      <c r="B367" s="9"/>
      <c r="C367" s="5"/>
      <c r="D367" s="5"/>
      <c r="E367" s="5"/>
      <c r="F367" s="9"/>
      <c r="G367" s="9"/>
      <c r="H367" s="9"/>
      <c r="I367" s="9"/>
      <c r="J367" s="9"/>
      <c r="K367" s="9"/>
      <c r="L367" s="9"/>
      <c r="M367" s="9"/>
      <c r="N367" s="9"/>
      <c r="O367" s="9"/>
      <c r="P367" s="9"/>
      <c r="Q367" s="9"/>
      <c r="R367" s="9"/>
      <c r="S367" s="9"/>
      <c r="T367" s="9"/>
      <c r="U367" s="9"/>
      <c r="V367" s="9"/>
      <c r="W367" s="9"/>
      <c r="X367" s="9"/>
      <c r="Y367" s="9"/>
      <c r="Z367" s="9"/>
      <c r="AA367" s="9"/>
    </row>
    <row r="368" spans="1:27">
      <c r="A368" s="9"/>
      <c r="B368" s="9"/>
      <c r="C368" s="5"/>
      <c r="D368" s="5"/>
      <c r="E368" s="5"/>
      <c r="F368" s="9"/>
      <c r="G368" s="9"/>
      <c r="H368" s="9"/>
      <c r="I368" s="9"/>
      <c r="J368" s="9"/>
      <c r="K368" s="9"/>
      <c r="L368" s="9"/>
      <c r="M368" s="9"/>
      <c r="N368" s="9"/>
      <c r="O368" s="9"/>
      <c r="P368" s="9"/>
      <c r="Q368" s="9"/>
      <c r="R368" s="9"/>
      <c r="S368" s="9"/>
      <c r="T368" s="9"/>
      <c r="U368" s="9"/>
      <c r="V368" s="9"/>
      <c r="W368" s="9"/>
      <c r="X368" s="9"/>
      <c r="Y368" s="9"/>
      <c r="Z368" s="9"/>
      <c r="AA368" s="9"/>
    </row>
    <row r="369" spans="1:27">
      <c r="A369" s="9"/>
      <c r="B369" s="9"/>
      <c r="C369" s="5"/>
      <c r="D369" s="5"/>
      <c r="E369" s="5"/>
      <c r="F369" s="9"/>
      <c r="G369" s="9"/>
      <c r="H369" s="9"/>
      <c r="I369" s="9"/>
      <c r="J369" s="9"/>
      <c r="K369" s="9"/>
      <c r="L369" s="9"/>
      <c r="M369" s="9"/>
      <c r="N369" s="9"/>
      <c r="O369" s="9"/>
      <c r="P369" s="9"/>
      <c r="Q369" s="9"/>
      <c r="R369" s="9"/>
      <c r="S369" s="9"/>
      <c r="T369" s="9"/>
      <c r="U369" s="9"/>
      <c r="V369" s="9"/>
      <c r="W369" s="9"/>
      <c r="X369" s="9"/>
      <c r="Y369" s="9"/>
      <c r="Z369" s="9"/>
      <c r="AA369" s="9"/>
    </row>
    <row r="370" spans="1:27">
      <c r="A370" s="9"/>
      <c r="B370" s="9"/>
      <c r="C370" s="5"/>
      <c r="D370" s="5"/>
      <c r="E370" s="5"/>
      <c r="F370" s="9"/>
      <c r="G370" s="9"/>
      <c r="H370" s="9"/>
      <c r="I370" s="9"/>
      <c r="J370" s="9"/>
      <c r="K370" s="9"/>
      <c r="L370" s="9"/>
      <c r="M370" s="9"/>
      <c r="N370" s="9"/>
      <c r="O370" s="9"/>
      <c r="P370" s="9"/>
      <c r="Q370" s="9"/>
      <c r="R370" s="9"/>
      <c r="S370" s="9"/>
      <c r="T370" s="9"/>
      <c r="U370" s="9"/>
      <c r="V370" s="9"/>
      <c r="W370" s="9"/>
      <c r="X370" s="9"/>
      <c r="Y370" s="9"/>
      <c r="Z370" s="9"/>
      <c r="AA370" s="9"/>
    </row>
    <row r="371" spans="1:27">
      <c r="A371" s="9"/>
      <c r="B371" s="9"/>
      <c r="C371" s="5"/>
      <c r="D371" s="5"/>
      <c r="E371" s="5"/>
      <c r="F371" s="9"/>
      <c r="G371" s="9"/>
      <c r="H371" s="9"/>
      <c r="I371" s="9"/>
      <c r="J371" s="9"/>
      <c r="K371" s="9"/>
      <c r="L371" s="9"/>
      <c r="M371" s="9"/>
      <c r="N371" s="9"/>
      <c r="O371" s="9"/>
      <c r="P371" s="9"/>
      <c r="Q371" s="9"/>
      <c r="R371" s="9"/>
      <c r="S371" s="9"/>
      <c r="T371" s="9"/>
      <c r="U371" s="9"/>
      <c r="V371" s="9"/>
      <c r="W371" s="9"/>
      <c r="X371" s="9"/>
      <c r="Y371" s="9"/>
      <c r="Z371" s="9"/>
      <c r="AA371" s="9"/>
    </row>
    <row r="372" spans="1:27">
      <c r="A372" s="9"/>
      <c r="B372" s="9"/>
      <c r="C372" s="5"/>
      <c r="D372" s="5"/>
      <c r="E372" s="5"/>
      <c r="F372" s="9"/>
      <c r="G372" s="9"/>
      <c r="H372" s="9"/>
      <c r="I372" s="9"/>
      <c r="J372" s="9"/>
      <c r="K372" s="9"/>
      <c r="L372" s="9"/>
      <c r="M372" s="9"/>
      <c r="N372" s="9"/>
      <c r="O372" s="9"/>
      <c r="P372" s="9"/>
      <c r="Q372" s="9"/>
      <c r="R372" s="9"/>
      <c r="S372" s="9"/>
      <c r="T372" s="9"/>
      <c r="U372" s="9"/>
      <c r="V372" s="9"/>
      <c r="W372" s="9"/>
      <c r="X372" s="9"/>
      <c r="Y372" s="9"/>
      <c r="Z372" s="9"/>
      <c r="AA372" s="9"/>
    </row>
    <row r="373" spans="1:27">
      <c r="A373" s="9"/>
      <c r="B373" s="9"/>
      <c r="C373" s="5"/>
      <c r="D373" s="5"/>
      <c r="E373" s="5"/>
      <c r="F373" s="9"/>
      <c r="G373" s="9"/>
      <c r="H373" s="9"/>
      <c r="I373" s="9"/>
      <c r="J373" s="9"/>
      <c r="K373" s="9"/>
      <c r="L373" s="9"/>
      <c r="M373" s="9"/>
      <c r="N373" s="9"/>
      <c r="O373" s="9"/>
      <c r="P373" s="9"/>
      <c r="Q373" s="9"/>
      <c r="R373" s="9"/>
      <c r="S373" s="9"/>
      <c r="T373" s="9"/>
      <c r="U373" s="9"/>
      <c r="V373" s="9"/>
      <c r="W373" s="9"/>
      <c r="X373" s="9"/>
      <c r="Y373" s="9"/>
      <c r="Z373" s="9"/>
      <c r="AA373" s="9"/>
    </row>
    <row r="374" spans="1:27">
      <c r="A374" s="9"/>
      <c r="B374" s="9"/>
      <c r="C374" s="5"/>
      <c r="D374" s="5"/>
      <c r="E374" s="5"/>
      <c r="F374" s="9"/>
      <c r="G374" s="9"/>
      <c r="H374" s="9"/>
      <c r="I374" s="9"/>
      <c r="J374" s="9"/>
      <c r="K374" s="9"/>
      <c r="L374" s="9"/>
      <c r="M374" s="9"/>
      <c r="N374" s="9"/>
      <c r="O374" s="9"/>
      <c r="P374" s="9"/>
      <c r="Q374" s="9"/>
      <c r="R374" s="9"/>
      <c r="S374" s="9"/>
      <c r="T374" s="9"/>
      <c r="U374" s="9"/>
      <c r="V374" s="9"/>
      <c r="W374" s="9"/>
      <c r="X374" s="9"/>
      <c r="Y374" s="9"/>
      <c r="Z374" s="9"/>
      <c r="AA374" s="9"/>
    </row>
    <row r="375" spans="1:27">
      <c r="A375" s="9"/>
      <c r="B375" s="9"/>
      <c r="C375" s="5"/>
      <c r="D375" s="5"/>
      <c r="E375" s="5"/>
      <c r="F375" s="9"/>
      <c r="G375" s="9"/>
      <c r="H375" s="9"/>
      <c r="I375" s="9"/>
      <c r="J375" s="9"/>
      <c r="K375" s="9"/>
      <c r="L375" s="9"/>
      <c r="M375" s="9"/>
      <c r="N375" s="9"/>
      <c r="O375" s="9"/>
      <c r="P375" s="9"/>
      <c r="Q375" s="9"/>
      <c r="R375" s="9"/>
      <c r="S375" s="9"/>
      <c r="T375" s="9"/>
      <c r="U375" s="9"/>
      <c r="V375" s="9"/>
      <c r="W375" s="9"/>
      <c r="X375" s="9"/>
      <c r="Y375" s="9"/>
      <c r="Z375" s="9"/>
      <c r="AA375" s="9"/>
    </row>
    <row r="376" spans="1:27">
      <c r="A376" s="9"/>
      <c r="B376" s="9"/>
      <c r="C376" s="5"/>
      <c r="D376" s="5"/>
      <c r="E376" s="5"/>
      <c r="F376" s="9"/>
      <c r="G376" s="9"/>
      <c r="H376" s="9"/>
      <c r="I376" s="9"/>
      <c r="J376" s="9"/>
      <c r="K376" s="9"/>
      <c r="L376" s="9"/>
      <c r="M376" s="9"/>
      <c r="N376" s="9"/>
      <c r="O376" s="9"/>
      <c r="P376" s="9"/>
      <c r="Q376" s="9"/>
      <c r="R376" s="9"/>
      <c r="S376" s="9"/>
      <c r="T376" s="9"/>
      <c r="U376" s="9"/>
      <c r="V376" s="9"/>
      <c r="W376" s="9"/>
      <c r="X376" s="9"/>
      <c r="Y376" s="9"/>
      <c r="Z376" s="9"/>
      <c r="AA376" s="9"/>
    </row>
    <row r="377" spans="1:27">
      <c r="A377" s="9"/>
      <c r="B377" s="9"/>
      <c r="C377" s="5"/>
      <c r="D377" s="5"/>
      <c r="E377" s="5"/>
      <c r="F377" s="9"/>
      <c r="G377" s="9"/>
      <c r="H377" s="9"/>
      <c r="I377" s="9"/>
      <c r="J377" s="9"/>
      <c r="K377" s="9"/>
      <c r="L377" s="9"/>
      <c r="M377" s="9"/>
      <c r="N377" s="9"/>
      <c r="O377" s="9"/>
      <c r="P377" s="9"/>
      <c r="Q377" s="9"/>
      <c r="R377" s="9"/>
      <c r="S377" s="9"/>
      <c r="T377" s="9"/>
      <c r="U377" s="9"/>
      <c r="V377" s="9"/>
      <c r="W377" s="9"/>
      <c r="X377" s="9"/>
      <c r="Y377" s="9"/>
      <c r="Z377" s="9"/>
      <c r="AA377" s="9"/>
    </row>
    <row r="378" spans="1:27">
      <c r="A378" s="9"/>
      <c r="B378" s="9"/>
      <c r="C378" s="5"/>
      <c r="D378" s="5"/>
      <c r="E378" s="5"/>
      <c r="F378" s="9"/>
      <c r="G378" s="9"/>
      <c r="H378" s="9"/>
      <c r="I378" s="9"/>
      <c r="J378" s="9"/>
      <c r="K378" s="9"/>
      <c r="L378" s="9"/>
      <c r="M378" s="9"/>
      <c r="N378" s="9"/>
      <c r="O378" s="9"/>
      <c r="P378" s="9"/>
      <c r="Q378" s="9"/>
      <c r="R378" s="9"/>
      <c r="S378" s="9"/>
      <c r="T378" s="9"/>
      <c r="U378" s="9"/>
      <c r="V378" s="9"/>
      <c r="W378" s="9"/>
      <c r="X378" s="9"/>
      <c r="Y378" s="9"/>
      <c r="Z378" s="9"/>
      <c r="AA378" s="9"/>
    </row>
    <row r="379" spans="1:27">
      <c r="A379" s="9"/>
      <c r="B379" s="9"/>
      <c r="C379" s="5"/>
      <c r="D379" s="5"/>
      <c r="E379" s="5"/>
      <c r="F379" s="9"/>
      <c r="G379" s="9"/>
      <c r="H379" s="9"/>
      <c r="I379" s="9"/>
      <c r="J379" s="9"/>
      <c r="K379" s="9"/>
      <c r="L379" s="9"/>
      <c r="M379" s="9"/>
      <c r="N379" s="9"/>
      <c r="O379" s="9"/>
      <c r="P379" s="9"/>
      <c r="Q379" s="9"/>
      <c r="R379" s="9"/>
      <c r="S379" s="9"/>
      <c r="T379" s="9"/>
      <c r="U379" s="9"/>
      <c r="V379" s="9"/>
      <c r="W379" s="9"/>
      <c r="X379" s="9"/>
      <c r="Y379" s="9"/>
      <c r="Z379" s="9"/>
      <c r="AA379" s="9"/>
    </row>
    <row r="380" spans="1:27">
      <c r="A380" s="9"/>
      <c r="B380" s="9"/>
      <c r="C380" s="5"/>
      <c r="D380" s="5"/>
      <c r="E380" s="5"/>
      <c r="F380" s="9"/>
      <c r="G380" s="9"/>
      <c r="H380" s="9"/>
      <c r="I380" s="9"/>
      <c r="J380" s="9"/>
      <c r="K380" s="9"/>
      <c r="L380" s="9"/>
      <c r="M380" s="9"/>
      <c r="N380" s="9"/>
      <c r="O380" s="9"/>
      <c r="P380" s="9"/>
      <c r="Q380" s="9"/>
      <c r="R380" s="9"/>
      <c r="S380" s="9"/>
      <c r="T380" s="9"/>
      <c r="U380" s="9"/>
      <c r="V380" s="9"/>
      <c r="W380" s="9"/>
      <c r="X380" s="9"/>
      <c r="Y380" s="9"/>
      <c r="Z380" s="9"/>
      <c r="AA380" s="9"/>
    </row>
    <row r="381" spans="1:27">
      <c r="A381" s="9"/>
      <c r="B381" s="9"/>
      <c r="C381" s="5"/>
      <c r="D381" s="5"/>
      <c r="E381" s="5"/>
      <c r="F381" s="9"/>
      <c r="G381" s="9"/>
      <c r="H381" s="9"/>
      <c r="I381" s="9"/>
      <c r="J381" s="9"/>
      <c r="K381" s="9"/>
      <c r="L381" s="9"/>
      <c r="M381" s="9"/>
      <c r="N381" s="9"/>
      <c r="O381" s="9"/>
      <c r="P381" s="9"/>
      <c r="Q381" s="9"/>
      <c r="R381" s="9"/>
      <c r="S381" s="9"/>
      <c r="T381" s="9"/>
      <c r="U381" s="9"/>
      <c r="V381" s="9"/>
      <c r="W381" s="9"/>
      <c r="X381" s="9"/>
      <c r="Y381" s="9"/>
      <c r="Z381" s="9"/>
      <c r="AA381" s="9"/>
    </row>
    <row r="382" spans="1:27">
      <c r="A382" s="9"/>
      <c r="B382" s="9"/>
      <c r="C382" s="5"/>
      <c r="D382" s="5"/>
      <c r="E382" s="5"/>
      <c r="F382" s="9"/>
      <c r="G382" s="9"/>
      <c r="H382" s="9"/>
      <c r="I382" s="9"/>
      <c r="J382" s="9"/>
      <c r="K382" s="9"/>
      <c r="L382" s="9"/>
      <c r="M382" s="9"/>
      <c r="N382" s="9"/>
      <c r="O382" s="9"/>
      <c r="P382" s="9"/>
      <c r="Q382" s="9"/>
      <c r="R382" s="9"/>
      <c r="S382" s="9"/>
      <c r="T382" s="9"/>
      <c r="U382" s="9"/>
      <c r="V382" s="9"/>
      <c r="W382" s="9"/>
      <c r="X382" s="9"/>
      <c r="Y382" s="9"/>
      <c r="Z382" s="9"/>
      <c r="AA382" s="9"/>
    </row>
    <row r="383" spans="1:27">
      <c r="A383" s="9"/>
      <c r="B383" s="9"/>
      <c r="C383" s="5"/>
      <c r="D383" s="5"/>
      <c r="E383" s="5"/>
      <c r="F383" s="9"/>
      <c r="G383" s="9"/>
      <c r="H383" s="9"/>
      <c r="I383" s="9"/>
      <c r="J383" s="9"/>
      <c r="K383" s="9"/>
      <c r="L383" s="9"/>
      <c r="M383" s="9"/>
      <c r="N383" s="9"/>
      <c r="O383" s="9"/>
      <c r="P383" s="9"/>
      <c r="Q383" s="9"/>
      <c r="R383" s="9"/>
      <c r="S383" s="9"/>
      <c r="T383" s="9"/>
      <c r="U383" s="9"/>
      <c r="V383" s="9"/>
      <c r="W383" s="9"/>
      <c r="X383" s="9"/>
      <c r="Y383" s="9"/>
      <c r="Z383" s="9"/>
      <c r="AA383" s="9"/>
    </row>
    <row r="384" spans="1:27">
      <c r="A384" s="9"/>
      <c r="B384" s="9"/>
      <c r="C384" s="5"/>
      <c r="D384" s="5"/>
      <c r="E384" s="5"/>
      <c r="F384" s="9"/>
      <c r="G384" s="9"/>
      <c r="H384" s="9"/>
      <c r="I384" s="9"/>
      <c r="J384" s="9"/>
      <c r="K384" s="9"/>
      <c r="L384" s="9"/>
      <c r="M384" s="9"/>
      <c r="N384" s="9"/>
      <c r="O384" s="9"/>
      <c r="P384" s="9"/>
      <c r="Q384" s="9"/>
      <c r="R384" s="9"/>
      <c r="S384" s="9"/>
      <c r="T384" s="9"/>
      <c r="U384" s="9"/>
      <c r="V384" s="9"/>
      <c r="W384" s="9"/>
      <c r="X384" s="9"/>
      <c r="Y384" s="9"/>
      <c r="Z384" s="9"/>
      <c r="AA384" s="9"/>
    </row>
    <row r="385" spans="1:27">
      <c r="A385" s="9"/>
      <c r="B385" s="9"/>
      <c r="C385" s="5"/>
      <c r="D385" s="5"/>
      <c r="E385" s="5"/>
      <c r="F385" s="9"/>
      <c r="G385" s="9"/>
      <c r="H385" s="9"/>
      <c r="I385" s="9"/>
      <c r="J385" s="9"/>
      <c r="K385" s="9"/>
      <c r="L385" s="9"/>
      <c r="M385" s="9"/>
      <c r="N385" s="9"/>
      <c r="O385" s="9"/>
      <c r="P385" s="9"/>
      <c r="Q385" s="9"/>
      <c r="R385" s="9"/>
      <c r="S385" s="9"/>
      <c r="T385" s="9"/>
      <c r="U385" s="9"/>
      <c r="V385" s="9"/>
      <c r="W385" s="9"/>
      <c r="X385" s="9"/>
      <c r="Y385" s="9"/>
      <c r="Z385" s="9"/>
      <c r="AA385" s="9"/>
    </row>
    <row r="386" spans="1:27">
      <c r="A386" s="9"/>
      <c r="B386" s="9"/>
      <c r="C386" s="5"/>
      <c r="D386" s="5"/>
      <c r="E386" s="5"/>
      <c r="F386" s="9"/>
      <c r="G386" s="9"/>
      <c r="H386" s="9"/>
      <c r="I386" s="9"/>
      <c r="J386" s="9"/>
      <c r="K386" s="9"/>
      <c r="L386" s="9"/>
      <c r="M386" s="9"/>
      <c r="N386" s="9"/>
      <c r="O386" s="9"/>
      <c r="P386" s="9"/>
      <c r="Q386" s="9"/>
      <c r="R386" s="9"/>
      <c r="S386" s="9"/>
      <c r="T386" s="9"/>
      <c r="U386" s="9"/>
      <c r="V386" s="9"/>
      <c r="W386" s="9"/>
      <c r="X386" s="9"/>
      <c r="Y386" s="9"/>
      <c r="Z386" s="9"/>
      <c r="AA386" s="9"/>
    </row>
    <row r="387" spans="1:27">
      <c r="A387" s="9"/>
      <c r="B387" s="9"/>
      <c r="C387" s="5"/>
      <c r="D387" s="5"/>
      <c r="E387" s="5"/>
      <c r="F387" s="9"/>
      <c r="G387" s="9"/>
      <c r="H387" s="9"/>
      <c r="I387" s="9"/>
      <c r="J387" s="9"/>
      <c r="K387" s="9"/>
      <c r="L387" s="9"/>
      <c r="M387" s="9"/>
      <c r="N387" s="9"/>
      <c r="O387" s="9"/>
      <c r="P387" s="9"/>
      <c r="Q387" s="9"/>
      <c r="R387" s="9"/>
      <c r="S387" s="9"/>
      <c r="T387" s="9"/>
      <c r="U387" s="9"/>
      <c r="V387" s="9"/>
      <c r="W387" s="9"/>
      <c r="X387" s="9"/>
      <c r="Y387" s="9"/>
      <c r="Z387" s="9"/>
      <c r="AA387" s="9"/>
    </row>
    <row r="388" spans="1:27">
      <c r="A388" s="9"/>
      <c r="B388" s="9"/>
      <c r="C388" s="5"/>
      <c r="D388" s="5"/>
      <c r="E388" s="5"/>
      <c r="F388" s="9"/>
      <c r="G388" s="9"/>
      <c r="H388" s="9"/>
      <c r="I388" s="9"/>
      <c r="J388" s="9"/>
      <c r="K388" s="9"/>
      <c r="L388" s="9"/>
      <c r="M388" s="9"/>
      <c r="N388" s="9"/>
      <c r="O388" s="9"/>
      <c r="P388" s="9"/>
      <c r="Q388" s="9"/>
      <c r="R388" s="9"/>
      <c r="S388" s="9"/>
      <c r="T388" s="9"/>
      <c r="U388" s="9"/>
      <c r="V388" s="9"/>
      <c r="W388" s="9"/>
      <c r="X388" s="9"/>
      <c r="Y388" s="9"/>
      <c r="Z388" s="9"/>
      <c r="AA388" s="9"/>
    </row>
    <row r="389" spans="1:27">
      <c r="A389" s="9"/>
      <c r="B389" s="9"/>
      <c r="C389" s="5"/>
      <c r="D389" s="5"/>
      <c r="E389" s="5"/>
      <c r="F389" s="9"/>
      <c r="G389" s="9"/>
      <c r="H389" s="9"/>
      <c r="I389" s="9"/>
      <c r="J389" s="9"/>
      <c r="K389" s="9"/>
      <c r="L389" s="9"/>
      <c r="M389" s="9"/>
      <c r="N389" s="9"/>
      <c r="O389" s="9"/>
      <c r="P389" s="9"/>
      <c r="Q389" s="9"/>
      <c r="R389" s="9"/>
      <c r="S389" s="9"/>
      <c r="T389" s="9"/>
      <c r="U389" s="9"/>
      <c r="V389" s="9"/>
      <c r="W389" s="9"/>
      <c r="X389" s="9"/>
      <c r="Y389" s="9"/>
      <c r="Z389" s="9"/>
      <c r="AA389" s="9"/>
    </row>
    <row r="390" spans="1:27">
      <c r="A390" s="9"/>
      <c r="B390" s="9"/>
      <c r="C390" s="5"/>
      <c r="D390" s="5"/>
      <c r="E390" s="5"/>
      <c r="F390" s="9"/>
      <c r="G390" s="9"/>
      <c r="H390" s="9"/>
      <c r="I390" s="9"/>
      <c r="J390" s="9"/>
      <c r="K390" s="9"/>
      <c r="L390" s="9"/>
      <c r="M390" s="9"/>
      <c r="N390" s="9"/>
      <c r="O390" s="9"/>
      <c r="P390" s="9"/>
      <c r="Q390" s="9"/>
      <c r="R390" s="9"/>
      <c r="S390" s="9"/>
      <c r="T390" s="9"/>
      <c r="U390" s="9"/>
      <c r="V390" s="9"/>
      <c r="W390" s="9"/>
      <c r="X390" s="9"/>
      <c r="Y390" s="9"/>
      <c r="Z390" s="9"/>
      <c r="AA390" s="9"/>
    </row>
    <row r="391" spans="1:27">
      <c r="A391" s="9"/>
      <c r="B391" s="9"/>
      <c r="C391" s="5"/>
      <c r="D391" s="5"/>
      <c r="E391" s="5"/>
      <c r="F391" s="9"/>
      <c r="G391" s="9"/>
      <c r="H391" s="9"/>
      <c r="I391" s="9"/>
      <c r="J391" s="9"/>
      <c r="K391" s="9"/>
      <c r="L391" s="9"/>
      <c r="M391" s="9"/>
      <c r="N391" s="9"/>
      <c r="O391" s="9"/>
      <c r="P391" s="9"/>
      <c r="Q391" s="9"/>
      <c r="R391" s="9"/>
      <c r="S391" s="9"/>
      <c r="T391" s="9"/>
      <c r="U391" s="9"/>
      <c r="V391" s="9"/>
      <c r="W391" s="9"/>
      <c r="X391" s="9"/>
      <c r="Y391" s="9"/>
      <c r="Z391" s="9"/>
      <c r="AA391" s="9"/>
    </row>
    <row r="392" spans="1:27">
      <c r="A392" s="9"/>
      <c r="B392" s="9"/>
      <c r="C392" s="5"/>
      <c r="D392" s="5"/>
      <c r="E392" s="5"/>
      <c r="F392" s="9"/>
      <c r="G392" s="9"/>
      <c r="H392" s="9"/>
      <c r="I392" s="9"/>
      <c r="J392" s="9"/>
      <c r="K392" s="9"/>
      <c r="L392" s="9"/>
      <c r="M392" s="9"/>
      <c r="N392" s="9"/>
      <c r="O392" s="9"/>
      <c r="P392" s="9"/>
      <c r="Q392" s="9"/>
      <c r="R392" s="9"/>
      <c r="S392" s="9"/>
      <c r="T392" s="9"/>
      <c r="U392" s="9"/>
      <c r="V392" s="9"/>
      <c r="W392" s="9"/>
      <c r="X392" s="9"/>
      <c r="Y392" s="9"/>
      <c r="Z392" s="9"/>
      <c r="AA392" s="9"/>
    </row>
    <row r="393" spans="1:27">
      <c r="A393" s="9"/>
      <c r="B393" s="9"/>
      <c r="C393" s="5"/>
      <c r="D393" s="5"/>
      <c r="E393" s="5"/>
      <c r="F393" s="9"/>
      <c r="G393" s="9"/>
      <c r="H393" s="9"/>
      <c r="I393" s="9"/>
      <c r="J393" s="9"/>
      <c r="K393" s="9"/>
      <c r="L393" s="9"/>
      <c r="M393" s="9"/>
      <c r="N393" s="9"/>
      <c r="O393" s="9"/>
      <c r="P393" s="9"/>
      <c r="Q393" s="9"/>
      <c r="R393" s="9"/>
      <c r="S393" s="9"/>
      <c r="T393" s="9"/>
      <c r="U393" s="9"/>
      <c r="V393" s="9"/>
      <c r="W393" s="9"/>
      <c r="X393" s="9"/>
      <c r="Y393" s="9"/>
      <c r="Z393" s="9"/>
      <c r="AA393" s="9"/>
    </row>
    <row r="394" spans="1:27">
      <c r="A394" s="9"/>
      <c r="B394" s="9"/>
      <c r="C394" s="5"/>
      <c r="D394" s="5"/>
      <c r="E394" s="5"/>
      <c r="F394" s="9"/>
      <c r="G394" s="9"/>
      <c r="H394" s="9"/>
      <c r="I394" s="9"/>
      <c r="J394" s="9"/>
      <c r="K394" s="9"/>
      <c r="L394" s="9"/>
      <c r="M394" s="9"/>
      <c r="N394" s="9"/>
      <c r="O394" s="9"/>
      <c r="P394" s="9"/>
      <c r="Q394" s="9"/>
      <c r="R394" s="9"/>
      <c r="S394" s="9"/>
      <c r="T394" s="9"/>
      <c r="U394" s="9"/>
      <c r="V394" s="9"/>
      <c r="W394" s="9"/>
      <c r="X394" s="9"/>
      <c r="Y394" s="9"/>
      <c r="Z394" s="9"/>
      <c r="AA394" s="9"/>
    </row>
    <row r="395" spans="1:27">
      <c r="A395" s="9"/>
      <c r="B395" s="9"/>
      <c r="C395" s="5"/>
      <c r="D395" s="5"/>
      <c r="E395" s="5"/>
      <c r="F395" s="9"/>
      <c r="G395" s="9"/>
      <c r="H395" s="9"/>
      <c r="I395" s="9"/>
      <c r="J395" s="9"/>
      <c r="K395" s="9"/>
      <c r="L395" s="9"/>
      <c r="M395" s="9"/>
      <c r="N395" s="9"/>
      <c r="O395" s="9"/>
      <c r="P395" s="9"/>
      <c r="Q395" s="9"/>
      <c r="R395" s="9"/>
      <c r="S395" s="9"/>
      <c r="T395" s="9"/>
      <c r="U395" s="9"/>
      <c r="V395" s="9"/>
      <c r="W395" s="9"/>
      <c r="X395" s="9"/>
      <c r="Y395" s="9"/>
      <c r="Z395" s="9"/>
      <c r="AA395" s="9"/>
    </row>
    <row r="396" spans="1:27">
      <c r="A396" s="9"/>
      <c r="B396" s="9"/>
      <c r="C396" s="5"/>
      <c r="D396" s="5"/>
      <c r="E396" s="5"/>
      <c r="F396" s="9"/>
      <c r="G396" s="9"/>
      <c r="H396" s="9"/>
      <c r="I396" s="9"/>
      <c r="J396" s="9"/>
      <c r="K396" s="9"/>
      <c r="L396" s="9"/>
      <c r="M396" s="9"/>
      <c r="N396" s="9"/>
      <c r="O396" s="9"/>
      <c r="P396" s="9"/>
      <c r="Q396" s="9"/>
      <c r="R396" s="9"/>
      <c r="S396" s="9"/>
      <c r="T396" s="9"/>
      <c r="U396" s="9"/>
      <c r="V396" s="9"/>
      <c r="W396" s="9"/>
      <c r="X396" s="9"/>
      <c r="Y396" s="9"/>
      <c r="Z396" s="9"/>
      <c r="AA396" s="9"/>
    </row>
    <row r="397" spans="1:27">
      <c r="A397" s="9"/>
      <c r="B397" s="9"/>
      <c r="C397" s="5"/>
      <c r="D397" s="5"/>
      <c r="E397" s="5"/>
      <c r="F397" s="9"/>
      <c r="G397" s="9"/>
      <c r="H397" s="9"/>
      <c r="I397" s="9"/>
      <c r="J397" s="9"/>
      <c r="K397" s="9"/>
      <c r="L397" s="9"/>
      <c r="M397" s="9"/>
      <c r="N397" s="9"/>
      <c r="O397" s="9"/>
      <c r="P397" s="9"/>
      <c r="Q397" s="9"/>
      <c r="R397" s="9"/>
      <c r="S397" s="9"/>
      <c r="T397" s="9"/>
      <c r="U397" s="9"/>
      <c r="V397" s="9"/>
      <c r="W397" s="9"/>
      <c r="X397" s="9"/>
      <c r="Y397" s="9"/>
      <c r="Z397" s="9"/>
      <c r="AA397" s="9"/>
    </row>
    <row r="398" spans="1:27">
      <c r="A398" s="9"/>
      <c r="B398" s="9"/>
      <c r="C398" s="5"/>
      <c r="D398" s="5"/>
      <c r="E398" s="5"/>
      <c r="F398" s="9"/>
      <c r="G398" s="9"/>
      <c r="H398" s="9"/>
      <c r="I398" s="9"/>
      <c r="J398" s="9"/>
      <c r="K398" s="9"/>
      <c r="L398" s="9"/>
      <c r="M398" s="9"/>
      <c r="N398" s="9"/>
      <c r="O398" s="9"/>
      <c r="P398" s="9"/>
      <c r="Q398" s="9"/>
      <c r="R398" s="9"/>
      <c r="S398" s="9"/>
      <c r="T398" s="9"/>
      <c r="U398" s="9"/>
      <c r="V398" s="9"/>
      <c r="W398" s="9"/>
      <c r="X398" s="9"/>
      <c r="Y398" s="9"/>
      <c r="Z398" s="9"/>
      <c r="AA398" s="9"/>
    </row>
    <row r="399" spans="1:27">
      <c r="A399" s="9"/>
      <c r="B399" s="9"/>
      <c r="C399" s="5"/>
      <c r="D399" s="5"/>
      <c r="E399" s="5"/>
      <c r="F399" s="9"/>
      <c r="G399" s="9"/>
      <c r="H399" s="9"/>
      <c r="I399" s="9"/>
      <c r="J399" s="9"/>
      <c r="K399" s="9"/>
      <c r="L399" s="9"/>
      <c r="M399" s="9"/>
      <c r="N399" s="9"/>
      <c r="O399" s="9"/>
      <c r="P399" s="9"/>
      <c r="Q399" s="9"/>
      <c r="R399" s="9"/>
      <c r="S399" s="9"/>
      <c r="T399" s="9"/>
      <c r="U399" s="9"/>
      <c r="V399" s="9"/>
      <c r="W399" s="9"/>
      <c r="X399" s="9"/>
      <c r="Y399" s="9"/>
      <c r="Z399" s="9"/>
      <c r="AA399" s="9"/>
    </row>
    <row r="400" spans="1:27">
      <c r="A400" s="9"/>
      <c r="B400" s="9"/>
      <c r="C400" s="5"/>
      <c r="D400" s="5"/>
      <c r="E400" s="5"/>
      <c r="F400" s="9"/>
      <c r="G400" s="9"/>
      <c r="H400" s="9"/>
      <c r="I400" s="9"/>
      <c r="J400" s="9"/>
      <c r="K400" s="9"/>
      <c r="L400" s="9"/>
      <c r="M400" s="9"/>
      <c r="N400" s="9"/>
      <c r="O400" s="9"/>
      <c r="P400" s="9"/>
      <c r="Q400" s="9"/>
      <c r="R400" s="9"/>
      <c r="S400" s="9"/>
      <c r="T400" s="9"/>
      <c r="U400" s="9"/>
      <c r="V400" s="9"/>
      <c r="W400" s="9"/>
      <c r="X400" s="9"/>
      <c r="Y400" s="9"/>
      <c r="Z400" s="9"/>
      <c r="AA400" s="9"/>
    </row>
    <row r="401" spans="1:27">
      <c r="A401" s="9"/>
      <c r="B401" s="9"/>
      <c r="C401" s="5"/>
      <c r="D401" s="5"/>
      <c r="E401" s="5"/>
      <c r="F401" s="9"/>
      <c r="G401" s="9"/>
      <c r="H401" s="9"/>
      <c r="I401" s="9"/>
      <c r="J401" s="9"/>
      <c r="K401" s="9"/>
      <c r="L401" s="9"/>
      <c r="M401" s="9"/>
      <c r="N401" s="9"/>
      <c r="O401" s="9"/>
      <c r="P401" s="9"/>
      <c r="Q401" s="9"/>
      <c r="R401" s="9"/>
      <c r="S401" s="9"/>
      <c r="T401" s="9"/>
      <c r="U401" s="9"/>
      <c r="V401" s="9"/>
      <c r="W401" s="9"/>
      <c r="X401" s="9"/>
      <c r="Y401" s="9"/>
      <c r="Z401" s="9"/>
      <c r="AA401" s="9"/>
    </row>
    <row r="402" spans="1:27">
      <c r="A402" s="9"/>
      <c r="B402" s="9"/>
      <c r="C402" s="5"/>
      <c r="D402" s="5"/>
      <c r="E402" s="5"/>
      <c r="F402" s="9"/>
      <c r="G402" s="9"/>
      <c r="H402" s="9"/>
      <c r="I402" s="9"/>
      <c r="J402" s="9"/>
      <c r="K402" s="9"/>
      <c r="L402" s="9"/>
      <c r="M402" s="9"/>
      <c r="N402" s="9"/>
      <c r="O402" s="9"/>
      <c r="P402" s="9"/>
      <c r="Q402" s="9"/>
      <c r="R402" s="9"/>
      <c r="S402" s="9"/>
      <c r="T402" s="9"/>
      <c r="U402" s="9"/>
      <c r="V402" s="9"/>
      <c r="W402" s="9"/>
      <c r="X402" s="9"/>
      <c r="Y402" s="9"/>
      <c r="Z402" s="9"/>
      <c r="AA402" s="9"/>
    </row>
    <row r="403" spans="1:27">
      <c r="A403" s="9"/>
      <c r="B403" s="9"/>
      <c r="C403" s="5"/>
      <c r="D403" s="5"/>
      <c r="E403" s="5"/>
      <c r="F403" s="9"/>
      <c r="G403" s="9"/>
      <c r="H403" s="9"/>
      <c r="I403" s="9"/>
      <c r="J403" s="9"/>
      <c r="K403" s="9"/>
      <c r="L403" s="9"/>
      <c r="M403" s="9"/>
      <c r="N403" s="9"/>
      <c r="O403" s="9"/>
      <c r="P403" s="9"/>
      <c r="Q403" s="9"/>
      <c r="R403" s="9"/>
      <c r="S403" s="9"/>
      <c r="T403" s="9"/>
      <c r="U403" s="9"/>
      <c r="V403" s="9"/>
      <c r="W403" s="9"/>
      <c r="X403" s="9"/>
      <c r="Y403" s="9"/>
      <c r="Z403" s="9"/>
      <c r="AA403" s="9"/>
    </row>
    <row r="404" spans="1:27">
      <c r="A404" s="9"/>
      <c r="B404" s="9"/>
      <c r="C404" s="5"/>
      <c r="D404" s="5"/>
      <c r="E404" s="5"/>
      <c r="F404" s="9"/>
      <c r="G404" s="9"/>
      <c r="H404" s="9"/>
      <c r="I404" s="9"/>
      <c r="J404" s="9"/>
      <c r="K404" s="9"/>
      <c r="L404" s="9"/>
      <c r="M404" s="9"/>
      <c r="N404" s="9"/>
      <c r="O404" s="9"/>
      <c r="P404" s="9"/>
      <c r="Q404" s="9"/>
      <c r="R404" s="9"/>
      <c r="S404" s="9"/>
      <c r="T404" s="9"/>
      <c r="U404" s="9"/>
      <c r="V404" s="9"/>
      <c r="W404" s="9"/>
      <c r="X404" s="9"/>
      <c r="Y404" s="9"/>
      <c r="Z404" s="9"/>
      <c r="AA404" s="9"/>
    </row>
    <row r="405" spans="1:27">
      <c r="A405" s="9"/>
      <c r="B405" s="9"/>
      <c r="C405" s="5"/>
      <c r="D405" s="5"/>
      <c r="E405" s="5"/>
      <c r="F405" s="9"/>
      <c r="G405" s="9"/>
      <c r="H405" s="9"/>
      <c r="I405" s="9"/>
      <c r="J405" s="9"/>
      <c r="K405" s="9"/>
      <c r="L405" s="9"/>
      <c r="M405" s="9"/>
      <c r="N405" s="9"/>
      <c r="O405" s="9"/>
      <c r="P405" s="9"/>
      <c r="Q405" s="9"/>
      <c r="R405" s="9"/>
      <c r="S405" s="9"/>
      <c r="T405" s="9"/>
      <c r="U405" s="9"/>
      <c r="V405" s="9"/>
      <c r="W405" s="9"/>
      <c r="X405" s="9"/>
      <c r="Y405" s="9"/>
      <c r="Z405" s="9"/>
      <c r="AA405" s="9"/>
    </row>
    <row r="406" spans="1:27">
      <c r="A406" s="9"/>
      <c r="B406" s="9"/>
      <c r="C406" s="5"/>
      <c r="D406" s="5"/>
      <c r="E406" s="5"/>
      <c r="F406" s="9"/>
      <c r="G406" s="9"/>
      <c r="H406" s="9"/>
      <c r="I406" s="9"/>
      <c r="J406" s="9"/>
      <c r="K406" s="9"/>
      <c r="L406" s="9"/>
      <c r="M406" s="9"/>
      <c r="N406" s="9"/>
      <c r="O406" s="9"/>
      <c r="P406" s="9"/>
      <c r="Q406" s="9"/>
      <c r="R406" s="9"/>
      <c r="S406" s="9"/>
      <c r="T406" s="9"/>
      <c r="U406" s="9"/>
      <c r="V406" s="9"/>
      <c r="W406" s="9"/>
      <c r="X406" s="9"/>
      <c r="Y406" s="9"/>
      <c r="Z406" s="9"/>
      <c r="AA406" s="9"/>
    </row>
    <row r="407" spans="1:27">
      <c r="A407" s="9"/>
      <c r="B407" s="9"/>
      <c r="C407" s="5"/>
      <c r="D407" s="5"/>
      <c r="E407" s="5"/>
      <c r="F407" s="9"/>
      <c r="G407" s="9"/>
      <c r="H407" s="9"/>
      <c r="I407" s="9"/>
      <c r="J407" s="9"/>
      <c r="K407" s="9"/>
      <c r="L407" s="9"/>
      <c r="M407" s="9"/>
      <c r="N407" s="9"/>
      <c r="O407" s="9"/>
      <c r="P407" s="9"/>
      <c r="Q407" s="9"/>
      <c r="R407" s="9"/>
      <c r="S407" s="9"/>
      <c r="T407" s="9"/>
      <c r="U407" s="9"/>
      <c r="V407" s="9"/>
      <c r="W407" s="9"/>
      <c r="X407" s="9"/>
      <c r="Y407" s="9"/>
      <c r="Z407" s="9"/>
      <c r="AA407" s="9"/>
    </row>
    <row r="408" spans="1:27">
      <c r="A408" s="9"/>
      <c r="B408" s="9"/>
      <c r="C408" s="5"/>
      <c r="D408" s="5"/>
      <c r="E408" s="5"/>
      <c r="F408" s="9"/>
      <c r="G408" s="9"/>
      <c r="H408" s="9"/>
      <c r="I408" s="9"/>
      <c r="J408" s="9"/>
      <c r="K408" s="9"/>
      <c r="L408" s="9"/>
      <c r="M408" s="9"/>
      <c r="N408" s="9"/>
      <c r="O408" s="9"/>
      <c r="P408" s="9"/>
      <c r="Q408" s="9"/>
      <c r="R408" s="9"/>
      <c r="S408" s="9"/>
      <c r="T408" s="9"/>
      <c r="U408" s="9"/>
      <c r="V408" s="9"/>
      <c r="W408" s="9"/>
      <c r="X408" s="9"/>
      <c r="Y408" s="9"/>
      <c r="Z408" s="9"/>
      <c r="AA408" s="9"/>
    </row>
    <row r="409" spans="1:27">
      <c r="A409" s="9"/>
      <c r="B409" s="9"/>
      <c r="C409" s="5"/>
      <c r="D409" s="5"/>
      <c r="E409" s="5"/>
      <c r="F409" s="9"/>
      <c r="G409" s="9"/>
      <c r="H409" s="9"/>
      <c r="I409" s="9"/>
      <c r="J409" s="9"/>
      <c r="K409" s="9"/>
      <c r="L409" s="9"/>
      <c r="M409" s="9"/>
      <c r="N409" s="9"/>
      <c r="O409" s="9"/>
      <c r="P409" s="9"/>
      <c r="Q409" s="9"/>
      <c r="R409" s="9"/>
      <c r="S409" s="9"/>
      <c r="T409" s="9"/>
      <c r="U409" s="9"/>
      <c r="V409" s="9"/>
      <c r="W409" s="9"/>
      <c r="X409" s="9"/>
      <c r="Y409" s="9"/>
      <c r="Z409" s="9"/>
      <c r="AA409" s="9"/>
    </row>
    <row r="410" spans="1:27">
      <c r="A410" s="9"/>
      <c r="B410" s="9"/>
      <c r="C410" s="5"/>
      <c r="D410" s="5"/>
      <c r="E410" s="5"/>
      <c r="F410" s="9"/>
      <c r="G410" s="9"/>
      <c r="H410" s="9"/>
      <c r="I410" s="9"/>
      <c r="J410" s="9"/>
      <c r="K410" s="9"/>
      <c r="L410" s="9"/>
      <c r="M410" s="9"/>
      <c r="N410" s="9"/>
      <c r="O410" s="9"/>
      <c r="P410" s="9"/>
      <c r="Q410" s="9"/>
      <c r="R410" s="9"/>
      <c r="S410" s="9"/>
      <c r="T410" s="9"/>
      <c r="U410" s="9"/>
      <c r="V410" s="9"/>
      <c r="W410" s="9"/>
      <c r="X410" s="9"/>
      <c r="Y410" s="9"/>
      <c r="Z410" s="9"/>
      <c r="AA410" s="9"/>
    </row>
    <row r="411" spans="1:27">
      <c r="A411" s="9"/>
      <c r="B411" s="9"/>
      <c r="C411" s="5"/>
      <c r="D411" s="5"/>
      <c r="E411" s="5"/>
      <c r="F411" s="9"/>
      <c r="G411" s="9"/>
      <c r="H411" s="9"/>
      <c r="I411" s="9"/>
      <c r="J411" s="9"/>
      <c r="K411" s="9"/>
      <c r="L411" s="9"/>
      <c r="M411" s="9"/>
      <c r="N411" s="9"/>
      <c r="O411" s="9"/>
      <c r="P411" s="9"/>
      <c r="Q411" s="9"/>
      <c r="R411" s="9"/>
      <c r="S411" s="9"/>
      <c r="T411" s="9"/>
      <c r="U411" s="9"/>
      <c r="V411" s="9"/>
      <c r="W411" s="9"/>
      <c r="X411" s="9"/>
      <c r="Y411" s="9"/>
      <c r="Z411" s="9"/>
      <c r="AA411" s="9"/>
    </row>
    <row r="412" spans="1:27">
      <c r="A412" s="9"/>
      <c r="B412" s="9"/>
      <c r="C412" s="5"/>
      <c r="D412" s="5"/>
      <c r="E412" s="5"/>
      <c r="F412" s="9"/>
      <c r="G412" s="9"/>
      <c r="H412" s="9"/>
      <c r="I412" s="9"/>
      <c r="J412" s="9"/>
      <c r="K412" s="9"/>
      <c r="L412" s="9"/>
      <c r="M412" s="9"/>
      <c r="N412" s="9"/>
      <c r="O412" s="9"/>
      <c r="P412" s="9"/>
      <c r="Q412" s="9"/>
      <c r="R412" s="9"/>
      <c r="S412" s="9"/>
      <c r="T412" s="9"/>
      <c r="U412" s="9"/>
      <c r="V412" s="9"/>
      <c r="W412" s="9"/>
      <c r="X412" s="9"/>
      <c r="Y412" s="9"/>
      <c r="Z412" s="9"/>
      <c r="AA412" s="9"/>
    </row>
    <row r="413" spans="1:27">
      <c r="A413" s="9"/>
      <c r="B413" s="9"/>
      <c r="C413" s="5"/>
      <c r="D413" s="5"/>
      <c r="E413" s="5"/>
      <c r="F413" s="9"/>
      <c r="G413" s="9"/>
      <c r="H413" s="9"/>
      <c r="I413" s="9"/>
      <c r="J413" s="9"/>
      <c r="K413" s="9"/>
      <c r="L413" s="9"/>
      <c r="M413" s="9"/>
      <c r="N413" s="9"/>
      <c r="O413" s="9"/>
      <c r="P413" s="9"/>
      <c r="Q413" s="9"/>
      <c r="R413" s="9"/>
      <c r="S413" s="9"/>
      <c r="T413" s="9"/>
      <c r="U413" s="9"/>
      <c r="V413" s="9"/>
      <c r="W413" s="9"/>
      <c r="X413" s="9"/>
      <c r="Y413" s="9"/>
      <c r="Z413" s="9"/>
      <c r="AA413" s="9"/>
    </row>
    <row r="414" spans="1:27">
      <c r="A414" s="9"/>
      <c r="B414" s="9"/>
      <c r="C414" s="5"/>
      <c r="D414" s="5"/>
      <c r="E414" s="5"/>
      <c r="F414" s="9"/>
      <c r="G414" s="9"/>
      <c r="H414" s="9"/>
      <c r="I414" s="9"/>
      <c r="J414" s="9"/>
      <c r="K414" s="9"/>
      <c r="L414" s="9"/>
      <c r="M414" s="9"/>
      <c r="N414" s="9"/>
      <c r="O414" s="9"/>
      <c r="P414" s="9"/>
      <c r="Q414" s="9"/>
      <c r="R414" s="9"/>
      <c r="S414" s="9"/>
      <c r="T414" s="9"/>
      <c r="U414" s="9"/>
      <c r="V414" s="9"/>
      <c r="W414" s="9"/>
      <c r="X414" s="9"/>
      <c r="Y414" s="9"/>
      <c r="Z414" s="9"/>
      <c r="AA414" s="9"/>
    </row>
    <row r="415" spans="1:27">
      <c r="A415" s="9"/>
      <c r="B415" s="9"/>
      <c r="C415" s="5"/>
      <c r="D415" s="5"/>
      <c r="E415" s="5"/>
      <c r="F415" s="9"/>
      <c r="G415" s="9"/>
      <c r="H415" s="9"/>
      <c r="I415" s="9"/>
      <c r="J415" s="9"/>
      <c r="K415" s="9"/>
      <c r="L415" s="9"/>
      <c r="M415" s="9"/>
      <c r="N415" s="9"/>
      <c r="O415" s="9"/>
      <c r="P415" s="9"/>
      <c r="Q415" s="9"/>
      <c r="R415" s="9"/>
      <c r="S415" s="9"/>
      <c r="T415" s="9"/>
      <c r="U415" s="9"/>
      <c r="V415" s="9"/>
      <c r="W415" s="9"/>
      <c r="X415" s="9"/>
      <c r="Y415" s="9"/>
      <c r="Z415" s="9"/>
      <c r="AA415" s="9"/>
    </row>
    <row r="416" spans="1:27">
      <c r="A416" s="9"/>
      <c r="B416" s="9"/>
      <c r="C416" s="5"/>
      <c r="D416" s="5"/>
      <c r="E416" s="5"/>
      <c r="F416" s="9"/>
      <c r="G416" s="9"/>
      <c r="H416" s="9"/>
      <c r="I416" s="9"/>
      <c r="J416" s="9"/>
      <c r="K416" s="9"/>
      <c r="L416" s="9"/>
      <c r="M416" s="9"/>
      <c r="N416" s="9"/>
      <c r="O416" s="9"/>
      <c r="P416" s="9"/>
      <c r="Q416" s="9"/>
      <c r="R416" s="9"/>
      <c r="S416" s="9"/>
      <c r="T416" s="9"/>
      <c r="U416" s="9"/>
      <c r="V416" s="9"/>
      <c r="W416" s="9"/>
      <c r="X416" s="9"/>
      <c r="Y416" s="9"/>
      <c r="Z416" s="9"/>
      <c r="AA416" s="9"/>
    </row>
    <row r="417" spans="1:27">
      <c r="A417" s="9"/>
      <c r="B417" s="9"/>
      <c r="C417" s="5"/>
      <c r="D417" s="5"/>
      <c r="E417" s="5"/>
      <c r="F417" s="9"/>
      <c r="G417" s="9"/>
      <c r="H417" s="9"/>
      <c r="I417" s="9"/>
      <c r="J417" s="9"/>
      <c r="K417" s="9"/>
      <c r="L417" s="9"/>
      <c r="M417" s="9"/>
      <c r="N417" s="9"/>
      <c r="O417" s="9"/>
      <c r="P417" s="9"/>
      <c r="Q417" s="9"/>
      <c r="R417" s="9"/>
      <c r="S417" s="9"/>
      <c r="T417" s="9"/>
      <c r="U417" s="9"/>
      <c r="V417" s="9"/>
      <c r="W417" s="9"/>
      <c r="X417" s="9"/>
      <c r="Y417" s="9"/>
      <c r="Z417" s="9"/>
      <c r="AA417" s="9"/>
    </row>
    <row r="418" spans="1:27">
      <c r="A418" s="9"/>
      <c r="B418" s="9"/>
      <c r="C418" s="5"/>
      <c r="D418" s="5"/>
      <c r="E418" s="5"/>
      <c r="F418" s="9"/>
      <c r="G418" s="9"/>
      <c r="H418" s="9"/>
      <c r="I418" s="9"/>
      <c r="J418" s="9"/>
      <c r="K418" s="9"/>
      <c r="L418" s="9"/>
      <c r="M418" s="9"/>
      <c r="N418" s="9"/>
      <c r="O418" s="9"/>
      <c r="P418" s="9"/>
      <c r="Q418" s="9"/>
      <c r="R418" s="9"/>
      <c r="S418" s="9"/>
      <c r="T418" s="9"/>
      <c r="U418" s="9"/>
      <c r="V418" s="9"/>
      <c r="W418" s="9"/>
      <c r="X418" s="9"/>
      <c r="Y418" s="9"/>
      <c r="Z418" s="9"/>
      <c r="AA418" s="9"/>
    </row>
    <row r="419" spans="1:27">
      <c r="A419" s="9"/>
      <c r="B419" s="9"/>
      <c r="C419" s="5"/>
      <c r="D419" s="5"/>
      <c r="E419" s="5"/>
      <c r="F419" s="9"/>
      <c r="G419" s="9"/>
      <c r="H419" s="9"/>
      <c r="I419" s="9"/>
      <c r="J419" s="9"/>
      <c r="K419" s="9"/>
      <c r="L419" s="9"/>
      <c r="M419" s="9"/>
      <c r="N419" s="9"/>
      <c r="O419" s="9"/>
      <c r="P419" s="9"/>
      <c r="Q419" s="9"/>
      <c r="R419" s="9"/>
      <c r="S419" s="9"/>
      <c r="T419" s="9"/>
      <c r="U419" s="9"/>
      <c r="V419" s="9"/>
      <c r="W419" s="9"/>
      <c r="X419" s="9"/>
      <c r="Y419" s="9"/>
      <c r="Z419" s="9"/>
      <c r="AA419" s="9"/>
    </row>
    <row r="420" spans="1:27">
      <c r="A420" s="9"/>
      <c r="B420" s="9"/>
      <c r="C420" s="5"/>
      <c r="D420" s="5"/>
      <c r="E420" s="5"/>
      <c r="F420" s="9"/>
      <c r="G420" s="9"/>
      <c r="H420" s="9"/>
      <c r="I420" s="9"/>
      <c r="J420" s="9"/>
      <c r="K420" s="9"/>
      <c r="L420" s="9"/>
      <c r="M420" s="9"/>
      <c r="N420" s="9"/>
      <c r="O420" s="9"/>
      <c r="P420" s="9"/>
      <c r="Q420" s="9"/>
      <c r="R420" s="9"/>
      <c r="S420" s="9"/>
      <c r="T420" s="9"/>
      <c r="U420" s="9"/>
      <c r="V420" s="9"/>
      <c r="W420" s="9"/>
      <c r="X420" s="9"/>
      <c r="Y420" s="9"/>
      <c r="Z420" s="9"/>
      <c r="AA420" s="9"/>
    </row>
    <row r="421" spans="1:27">
      <c r="A421" s="9"/>
      <c r="B421" s="9"/>
      <c r="C421" s="5"/>
      <c r="D421" s="5"/>
      <c r="E421" s="5"/>
      <c r="F421" s="9"/>
      <c r="G421" s="9"/>
      <c r="H421" s="9"/>
      <c r="I421" s="9"/>
      <c r="J421" s="9"/>
      <c r="K421" s="9"/>
      <c r="L421" s="9"/>
      <c r="M421" s="9"/>
      <c r="N421" s="9"/>
      <c r="O421" s="9"/>
      <c r="P421" s="9"/>
      <c r="Q421" s="9"/>
      <c r="R421" s="9"/>
      <c r="S421" s="9"/>
      <c r="T421" s="9"/>
      <c r="U421" s="9"/>
      <c r="V421" s="9"/>
      <c r="W421" s="9"/>
      <c r="X421" s="9"/>
      <c r="Y421" s="9"/>
      <c r="Z421" s="9"/>
      <c r="AA421" s="9"/>
    </row>
    <row r="422" spans="1:27">
      <c r="A422" s="9"/>
      <c r="B422" s="9"/>
      <c r="C422" s="5"/>
      <c r="D422" s="5"/>
      <c r="E422" s="5"/>
      <c r="F422" s="9"/>
      <c r="G422" s="9"/>
      <c r="H422" s="9"/>
      <c r="I422" s="9"/>
      <c r="J422" s="9"/>
      <c r="K422" s="9"/>
      <c r="L422" s="9"/>
      <c r="M422" s="9"/>
      <c r="N422" s="9"/>
      <c r="O422" s="9"/>
      <c r="P422" s="9"/>
      <c r="Q422" s="9"/>
      <c r="R422" s="9"/>
      <c r="S422" s="9"/>
      <c r="T422" s="9"/>
      <c r="U422" s="9"/>
      <c r="V422" s="9"/>
      <c r="W422" s="9"/>
      <c r="X422" s="9"/>
      <c r="Y422" s="9"/>
      <c r="Z422" s="9"/>
      <c r="AA422" s="9"/>
    </row>
    <row r="423" spans="1:27">
      <c r="A423" s="9"/>
      <c r="B423" s="9"/>
      <c r="C423" s="5"/>
      <c r="D423" s="5"/>
      <c r="E423" s="5"/>
      <c r="F423" s="9"/>
      <c r="G423" s="9"/>
      <c r="H423" s="9"/>
      <c r="I423" s="9"/>
      <c r="J423" s="9"/>
      <c r="K423" s="9"/>
      <c r="L423" s="9"/>
      <c r="M423" s="9"/>
      <c r="N423" s="9"/>
      <c r="O423" s="9"/>
      <c r="P423" s="9"/>
      <c r="Q423" s="9"/>
      <c r="R423" s="9"/>
      <c r="S423" s="9"/>
      <c r="T423" s="9"/>
      <c r="U423" s="9"/>
      <c r="V423" s="9"/>
      <c r="W423" s="9"/>
      <c r="X423" s="9"/>
      <c r="Y423" s="9"/>
      <c r="Z423" s="9"/>
      <c r="AA423" s="9"/>
    </row>
    <row r="424" spans="1:27">
      <c r="A424" s="9"/>
      <c r="B424" s="9"/>
      <c r="C424" s="5"/>
      <c r="D424" s="5"/>
      <c r="E424" s="5"/>
      <c r="F424" s="9"/>
      <c r="G424" s="9"/>
      <c r="H424" s="9"/>
      <c r="I424" s="9"/>
      <c r="J424" s="9"/>
      <c r="K424" s="9"/>
      <c r="L424" s="9"/>
      <c r="M424" s="9"/>
      <c r="N424" s="9"/>
      <c r="O424" s="9"/>
      <c r="P424" s="9"/>
      <c r="Q424" s="9"/>
      <c r="R424" s="9"/>
      <c r="S424" s="9"/>
      <c r="T424" s="9"/>
      <c r="U424" s="9"/>
      <c r="V424" s="9"/>
      <c r="W424" s="9"/>
      <c r="X424" s="9"/>
      <c r="Y424" s="9"/>
      <c r="Z424" s="9"/>
      <c r="AA424" s="9"/>
    </row>
    <row r="425" spans="1:27">
      <c r="A425" s="9"/>
      <c r="B425" s="9"/>
      <c r="C425" s="5"/>
      <c r="D425" s="5"/>
      <c r="E425" s="5"/>
      <c r="F425" s="9"/>
      <c r="G425" s="9"/>
      <c r="H425" s="9"/>
      <c r="I425" s="9"/>
      <c r="J425" s="9"/>
      <c r="K425" s="9"/>
      <c r="L425" s="9"/>
      <c r="M425" s="9"/>
      <c r="N425" s="9"/>
      <c r="O425" s="9"/>
      <c r="P425" s="9"/>
      <c r="Q425" s="9"/>
      <c r="R425" s="9"/>
      <c r="S425" s="9"/>
      <c r="T425" s="9"/>
      <c r="U425" s="9"/>
      <c r="V425" s="9"/>
      <c r="W425" s="9"/>
      <c r="X425" s="9"/>
      <c r="Y425" s="9"/>
      <c r="Z425" s="9"/>
      <c r="AA425" s="9"/>
    </row>
    <row r="426" spans="1:27">
      <c r="A426" s="9"/>
      <c r="B426" s="9"/>
      <c r="C426" s="5"/>
      <c r="D426" s="5"/>
      <c r="E426" s="5"/>
      <c r="F426" s="9"/>
      <c r="G426" s="9"/>
      <c r="H426" s="9"/>
      <c r="I426" s="9"/>
      <c r="J426" s="9"/>
      <c r="K426" s="9"/>
      <c r="L426" s="9"/>
      <c r="M426" s="9"/>
      <c r="N426" s="9"/>
      <c r="O426" s="9"/>
      <c r="P426" s="9"/>
      <c r="Q426" s="9"/>
      <c r="R426" s="9"/>
      <c r="S426" s="9"/>
      <c r="T426" s="9"/>
      <c r="U426" s="9"/>
      <c r="V426" s="9"/>
      <c r="W426" s="9"/>
      <c r="X426" s="9"/>
      <c r="Y426" s="9"/>
      <c r="Z426" s="9"/>
      <c r="AA426" s="9"/>
    </row>
    <row r="427" spans="1:27">
      <c r="A427" s="9"/>
      <c r="B427" s="9"/>
      <c r="C427" s="5"/>
      <c r="D427" s="5"/>
      <c r="E427" s="5"/>
      <c r="F427" s="9"/>
      <c r="G427" s="9"/>
      <c r="H427" s="9"/>
      <c r="I427" s="9"/>
      <c r="J427" s="9"/>
      <c r="K427" s="9"/>
      <c r="L427" s="9"/>
      <c r="M427" s="9"/>
      <c r="N427" s="9"/>
      <c r="O427" s="9"/>
      <c r="P427" s="9"/>
      <c r="Q427" s="9"/>
      <c r="R427" s="9"/>
      <c r="S427" s="9"/>
      <c r="T427" s="9"/>
      <c r="U427" s="9"/>
      <c r="V427" s="9"/>
      <c r="W427" s="9"/>
      <c r="X427" s="9"/>
      <c r="Y427" s="9"/>
      <c r="Z427" s="9"/>
      <c r="AA427" s="9"/>
    </row>
    <row r="428" spans="1:27">
      <c r="A428" s="9"/>
      <c r="B428" s="9"/>
      <c r="C428" s="5"/>
      <c r="D428" s="5"/>
      <c r="E428" s="5"/>
      <c r="F428" s="9"/>
      <c r="G428" s="9"/>
      <c r="H428" s="9"/>
      <c r="I428" s="9"/>
      <c r="J428" s="9"/>
      <c r="K428" s="9"/>
      <c r="L428" s="9"/>
      <c r="M428" s="9"/>
      <c r="N428" s="9"/>
      <c r="O428" s="9"/>
      <c r="P428" s="9"/>
      <c r="Q428" s="9"/>
      <c r="R428" s="9"/>
      <c r="S428" s="9"/>
      <c r="T428" s="9"/>
      <c r="U428" s="9"/>
      <c r="V428" s="9"/>
      <c r="W428" s="9"/>
      <c r="X428" s="9"/>
      <c r="Y428" s="9"/>
      <c r="Z428" s="9"/>
      <c r="AA428" s="9"/>
    </row>
    <row r="429" spans="1:27">
      <c r="A429" s="9"/>
      <c r="B429" s="9"/>
      <c r="C429" s="5"/>
      <c r="D429" s="5"/>
      <c r="E429" s="5"/>
      <c r="F429" s="9"/>
      <c r="G429" s="9"/>
      <c r="H429" s="9"/>
      <c r="I429" s="9"/>
      <c r="J429" s="9"/>
      <c r="K429" s="9"/>
      <c r="L429" s="9"/>
      <c r="M429" s="9"/>
      <c r="N429" s="9"/>
      <c r="O429" s="9"/>
      <c r="P429" s="9"/>
      <c r="Q429" s="9"/>
      <c r="R429" s="9"/>
      <c r="S429" s="9"/>
      <c r="T429" s="9"/>
      <c r="U429" s="9"/>
      <c r="V429" s="9"/>
      <c r="W429" s="9"/>
      <c r="X429" s="9"/>
      <c r="Y429" s="9"/>
      <c r="Z429" s="9"/>
      <c r="AA429" s="9"/>
    </row>
    <row r="430" spans="1:27">
      <c r="A430" s="9"/>
      <c r="B430" s="9"/>
      <c r="C430" s="5"/>
      <c r="D430" s="5"/>
      <c r="E430" s="5"/>
      <c r="F430" s="9"/>
      <c r="G430" s="9"/>
      <c r="H430" s="9"/>
      <c r="I430" s="9"/>
      <c r="J430" s="9"/>
      <c r="K430" s="9"/>
      <c r="L430" s="9"/>
      <c r="M430" s="9"/>
      <c r="N430" s="9"/>
      <c r="O430" s="9"/>
      <c r="P430" s="9"/>
      <c r="Q430" s="9"/>
      <c r="R430" s="9"/>
      <c r="S430" s="9"/>
      <c r="T430" s="9"/>
      <c r="U430" s="9"/>
      <c r="V430" s="9"/>
      <c r="W430" s="9"/>
      <c r="X430" s="9"/>
      <c r="Y430" s="9"/>
      <c r="Z430" s="9"/>
      <c r="AA430" s="9"/>
    </row>
    <row r="431" spans="1:27">
      <c r="A431" s="9"/>
      <c r="B431" s="9"/>
      <c r="C431" s="5"/>
      <c r="D431" s="5"/>
      <c r="E431" s="5"/>
      <c r="F431" s="9"/>
      <c r="G431" s="9"/>
      <c r="H431" s="9"/>
      <c r="I431" s="9"/>
      <c r="J431" s="9"/>
      <c r="K431" s="9"/>
      <c r="L431" s="9"/>
      <c r="M431" s="9"/>
      <c r="N431" s="9"/>
      <c r="O431" s="9"/>
      <c r="P431" s="9"/>
      <c r="Q431" s="9"/>
      <c r="R431" s="9"/>
      <c r="S431" s="9"/>
      <c r="T431" s="9"/>
      <c r="U431" s="9"/>
      <c r="V431" s="9"/>
      <c r="W431" s="9"/>
      <c r="X431" s="9"/>
      <c r="Y431" s="9"/>
      <c r="Z431" s="9"/>
      <c r="AA431" s="9"/>
    </row>
    <row r="432" spans="1:27">
      <c r="A432" s="9"/>
      <c r="B432" s="9"/>
      <c r="C432" s="5"/>
      <c r="D432" s="5"/>
      <c r="E432" s="5"/>
      <c r="F432" s="9"/>
      <c r="G432" s="9"/>
      <c r="H432" s="9"/>
      <c r="I432" s="9"/>
      <c r="J432" s="9"/>
      <c r="K432" s="9"/>
      <c r="L432" s="9"/>
      <c r="M432" s="9"/>
      <c r="N432" s="9"/>
      <c r="O432" s="9"/>
      <c r="P432" s="9"/>
      <c r="Q432" s="9"/>
      <c r="R432" s="9"/>
      <c r="S432" s="9"/>
      <c r="T432" s="9"/>
      <c r="U432" s="9"/>
      <c r="V432" s="9"/>
      <c r="W432" s="9"/>
      <c r="X432" s="9"/>
      <c r="Y432" s="9"/>
      <c r="Z432" s="9"/>
      <c r="AA432" s="9"/>
    </row>
    <row r="433" spans="1:27">
      <c r="A433" s="9"/>
      <c r="B433" s="9"/>
      <c r="C433" s="5"/>
      <c r="D433" s="5"/>
      <c r="E433" s="5"/>
      <c r="F433" s="9"/>
      <c r="G433" s="9"/>
      <c r="H433" s="9"/>
      <c r="I433" s="9"/>
      <c r="J433" s="9"/>
      <c r="K433" s="9"/>
      <c r="L433" s="9"/>
      <c r="M433" s="9"/>
      <c r="N433" s="9"/>
      <c r="O433" s="9"/>
      <c r="P433" s="9"/>
      <c r="Q433" s="9"/>
      <c r="R433" s="9"/>
      <c r="S433" s="9"/>
      <c r="T433" s="9"/>
      <c r="U433" s="9"/>
      <c r="V433" s="9"/>
      <c r="W433" s="9"/>
      <c r="X433" s="9"/>
      <c r="Y433" s="9"/>
      <c r="Z433" s="9"/>
      <c r="AA433" s="9"/>
    </row>
    <row r="434" spans="1:27">
      <c r="A434" s="9"/>
      <c r="B434" s="9"/>
      <c r="C434" s="5"/>
      <c r="D434" s="5"/>
      <c r="E434" s="5"/>
      <c r="F434" s="9"/>
      <c r="G434" s="9"/>
      <c r="H434" s="9"/>
      <c r="I434" s="9"/>
      <c r="J434" s="9"/>
      <c r="K434" s="9"/>
      <c r="L434" s="9"/>
      <c r="M434" s="9"/>
      <c r="N434" s="9"/>
      <c r="O434" s="9"/>
      <c r="P434" s="9"/>
      <c r="Q434" s="9"/>
      <c r="R434" s="9"/>
      <c r="S434" s="9"/>
      <c r="T434" s="9"/>
      <c r="U434" s="9"/>
      <c r="V434" s="9"/>
      <c r="W434" s="9"/>
      <c r="X434" s="9"/>
      <c r="Y434" s="9"/>
      <c r="Z434" s="9"/>
      <c r="AA434" s="9"/>
    </row>
    <row r="435" spans="1:27">
      <c r="A435" s="9"/>
      <c r="B435" s="9"/>
      <c r="C435" s="5"/>
      <c r="D435" s="5"/>
      <c r="E435" s="5"/>
      <c r="F435" s="9"/>
      <c r="G435" s="9"/>
      <c r="H435" s="9"/>
      <c r="I435" s="9"/>
      <c r="J435" s="9"/>
      <c r="K435" s="9"/>
      <c r="L435" s="9"/>
      <c r="M435" s="9"/>
      <c r="N435" s="9"/>
      <c r="O435" s="9"/>
      <c r="P435" s="9"/>
      <c r="Q435" s="9"/>
      <c r="R435" s="9"/>
      <c r="S435" s="9"/>
      <c r="T435" s="9"/>
      <c r="U435" s="9"/>
      <c r="V435" s="9"/>
      <c r="W435" s="9"/>
      <c r="X435" s="9"/>
      <c r="Y435" s="9"/>
      <c r="Z435" s="9"/>
      <c r="AA435" s="9"/>
    </row>
    <row r="436" spans="1:27">
      <c r="A436" s="9"/>
      <c r="B436" s="9"/>
      <c r="C436" s="5"/>
      <c r="D436" s="5"/>
      <c r="E436" s="5"/>
      <c r="F436" s="9"/>
      <c r="G436" s="9"/>
      <c r="H436" s="9"/>
      <c r="I436" s="9"/>
      <c r="J436" s="9"/>
      <c r="K436" s="9"/>
      <c r="L436" s="9"/>
      <c r="M436" s="9"/>
      <c r="N436" s="9"/>
      <c r="O436" s="9"/>
      <c r="P436" s="9"/>
      <c r="Q436" s="9"/>
      <c r="R436" s="9"/>
      <c r="S436" s="9"/>
      <c r="T436" s="9"/>
      <c r="U436" s="9"/>
      <c r="V436" s="9"/>
      <c r="W436" s="9"/>
      <c r="X436" s="9"/>
      <c r="Y436" s="9"/>
      <c r="Z436" s="9"/>
      <c r="AA436" s="9"/>
    </row>
    <row r="437" spans="1:27">
      <c r="A437" s="9"/>
      <c r="B437" s="9"/>
      <c r="C437" s="5"/>
      <c r="D437" s="5"/>
      <c r="E437" s="5"/>
      <c r="F437" s="9"/>
      <c r="G437" s="9"/>
      <c r="H437" s="9"/>
      <c r="I437" s="9"/>
      <c r="J437" s="9"/>
      <c r="K437" s="9"/>
      <c r="L437" s="9"/>
      <c r="M437" s="9"/>
      <c r="N437" s="9"/>
      <c r="O437" s="9"/>
      <c r="P437" s="9"/>
      <c r="Q437" s="9"/>
      <c r="R437" s="9"/>
      <c r="S437" s="9"/>
      <c r="T437" s="9"/>
      <c r="U437" s="9"/>
      <c r="V437" s="9"/>
      <c r="W437" s="9"/>
      <c r="X437" s="9"/>
      <c r="Y437" s="9"/>
      <c r="Z437" s="9"/>
      <c r="AA437" s="9"/>
    </row>
    <row r="438" spans="1:27">
      <c r="A438" s="9"/>
      <c r="B438" s="9"/>
      <c r="C438" s="5"/>
      <c r="D438" s="5"/>
      <c r="E438" s="5"/>
      <c r="F438" s="9"/>
      <c r="G438" s="9"/>
      <c r="H438" s="9"/>
      <c r="I438" s="9"/>
      <c r="J438" s="9"/>
      <c r="K438" s="9"/>
      <c r="L438" s="9"/>
      <c r="M438" s="9"/>
      <c r="N438" s="9"/>
      <c r="O438" s="9"/>
      <c r="P438" s="9"/>
      <c r="Q438" s="9"/>
      <c r="R438" s="9"/>
      <c r="S438" s="9"/>
      <c r="T438" s="9"/>
      <c r="U438" s="9"/>
      <c r="V438" s="9"/>
      <c r="W438" s="9"/>
      <c r="X438" s="9"/>
      <c r="Y438" s="9"/>
      <c r="Z438" s="9"/>
      <c r="AA438" s="9"/>
    </row>
    <row r="439" spans="1:27">
      <c r="A439" s="9"/>
      <c r="B439" s="9"/>
      <c r="C439" s="5"/>
      <c r="D439" s="5"/>
      <c r="E439" s="5"/>
      <c r="F439" s="9"/>
      <c r="G439" s="9"/>
      <c r="H439" s="9"/>
      <c r="I439" s="9"/>
      <c r="J439" s="9"/>
      <c r="K439" s="9"/>
      <c r="L439" s="9"/>
      <c r="M439" s="9"/>
      <c r="N439" s="9"/>
      <c r="O439" s="9"/>
      <c r="P439" s="9"/>
      <c r="Q439" s="9"/>
      <c r="R439" s="9"/>
      <c r="S439" s="9"/>
      <c r="T439" s="9"/>
      <c r="U439" s="9"/>
      <c r="V439" s="9"/>
      <c r="W439" s="9"/>
      <c r="X439" s="9"/>
      <c r="Y439" s="9"/>
      <c r="Z439" s="9"/>
      <c r="AA439" s="9"/>
    </row>
    <row r="440" spans="1:27">
      <c r="A440" s="9"/>
      <c r="B440" s="9"/>
      <c r="C440" s="5"/>
      <c r="D440" s="5"/>
      <c r="E440" s="5"/>
      <c r="F440" s="9"/>
      <c r="G440" s="9"/>
      <c r="H440" s="9"/>
      <c r="I440" s="9"/>
      <c r="J440" s="9"/>
      <c r="K440" s="9"/>
      <c r="L440" s="9"/>
      <c r="M440" s="9"/>
      <c r="N440" s="9"/>
      <c r="O440" s="9"/>
      <c r="P440" s="9"/>
      <c r="Q440" s="9"/>
      <c r="R440" s="9"/>
      <c r="S440" s="9"/>
      <c r="T440" s="9"/>
      <c r="U440" s="9"/>
      <c r="V440" s="9"/>
      <c r="W440" s="9"/>
      <c r="X440" s="9"/>
      <c r="Y440" s="9"/>
      <c r="Z440" s="9"/>
      <c r="AA440" s="9"/>
    </row>
    <row r="441" spans="1:27">
      <c r="A441" s="9"/>
      <c r="B441" s="9"/>
      <c r="C441" s="5"/>
      <c r="D441" s="5"/>
      <c r="E441" s="5"/>
      <c r="F441" s="9"/>
      <c r="G441" s="9"/>
      <c r="H441" s="9"/>
      <c r="I441" s="9"/>
      <c r="J441" s="9"/>
      <c r="K441" s="9"/>
      <c r="L441" s="9"/>
      <c r="M441" s="9"/>
      <c r="N441" s="9"/>
      <c r="O441" s="9"/>
      <c r="P441" s="9"/>
      <c r="Q441" s="9"/>
      <c r="R441" s="9"/>
      <c r="S441" s="9"/>
      <c r="T441" s="9"/>
      <c r="U441" s="9"/>
      <c r="V441" s="9"/>
      <c r="W441" s="9"/>
      <c r="X441" s="9"/>
      <c r="Y441" s="9"/>
      <c r="Z441" s="9"/>
      <c r="AA441" s="9"/>
    </row>
    <row r="442" spans="1:27">
      <c r="A442" s="9"/>
      <c r="B442" s="9"/>
      <c r="C442" s="5"/>
      <c r="D442" s="5"/>
      <c r="E442" s="5"/>
      <c r="F442" s="9"/>
      <c r="G442" s="9"/>
      <c r="H442" s="9"/>
      <c r="I442" s="9"/>
      <c r="J442" s="9"/>
      <c r="K442" s="9"/>
      <c r="L442" s="9"/>
      <c r="M442" s="9"/>
      <c r="N442" s="9"/>
      <c r="O442" s="9"/>
      <c r="P442" s="9"/>
      <c r="Q442" s="9"/>
      <c r="R442" s="9"/>
      <c r="S442" s="9"/>
      <c r="T442" s="9"/>
      <c r="U442" s="9"/>
      <c r="V442" s="9"/>
      <c r="W442" s="9"/>
      <c r="X442" s="9"/>
      <c r="Y442" s="9"/>
      <c r="Z442" s="9"/>
      <c r="AA442" s="9"/>
    </row>
    <row r="443" spans="1:27">
      <c r="A443" s="9"/>
      <c r="B443" s="9"/>
      <c r="C443" s="5"/>
      <c r="D443" s="5"/>
      <c r="E443" s="5"/>
      <c r="F443" s="9"/>
      <c r="G443" s="9"/>
      <c r="H443" s="9"/>
      <c r="I443" s="9"/>
      <c r="J443" s="9"/>
      <c r="K443" s="9"/>
      <c r="L443" s="9"/>
      <c r="M443" s="9"/>
      <c r="N443" s="9"/>
      <c r="O443" s="9"/>
      <c r="P443" s="9"/>
      <c r="Q443" s="9"/>
      <c r="R443" s="9"/>
      <c r="S443" s="9"/>
      <c r="T443" s="9"/>
      <c r="U443" s="9"/>
      <c r="V443" s="9"/>
      <c r="W443" s="9"/>
      <c r="X443" s="9"/>
      <c r="Y443" s="9"/>
      <c r="Z443" s="9"/>
      <c r="AA443" s="9"/>
    </row>
    <row r="444" spans="1:27">
      <c r="A444" s="9"/>
      <c r="B444" s="9"/>
      <c r="C444" s="5"/>
      <c r="D444" s="5"/>
      <c r="E444" s="5"/>
      <c r="F444" s="9"/>
      <c r="G444" s="9"/>
      <c r="H444" s="9"/>
      <c r="I444" s="9"/>
      <c r="J444" s="9"/>
      <c r="K444" s="9"/>
      <c r="L444" s="9"/>
      <c r="M444" s="9"/>
      <c r="N444" s="9"/>
      <c r="O444" s="9"/>
      <c r="P444" s="9"/>
      <c r="Q444" s="9"/>
      <c r="R444" s="9"/>
      <c r="S444" s="9"/>
      <c r="T444" s="9"/>
      <c r="U444" s="9"/>
      <c r="V444" s="9"/>
      <c r="W444" s="9"/>
      <c r="X444" s="9"/>
      <c r="Y444" s="9"/>
      <c r="Z444" s="9"/>
      <c r="AA444" s="9"/>
    </row>
    <row r="445" spans="1:27">
      <c r="A445" s="9"/>
      <c r="B445" s="9"/>
      <c r="C445" s="5"/>
      <c r="D445" s="5"/>
      <c r="E445" s="5"/>
      <c r="F445" s="9"/>
      <c r="G445" s="9"/>
      <c r="H445" s="9"/>
      <c r="I445" s="9"/>
      <c r="J445" s="9"/>
      <c r="K445" s="9"/>
      <c r="L445" s="9"/>
      <c r="M445" s="9"/>
      <c r="N445" s="9"/>
      <c r="O445" s="9"/>
      <c r="P445" s="9"/>
      <c r="Q445" s="9"/>
      <c r="R445" s="9"/>
      <c r="S445" s="9"/>
      <c r="T445" s="9"/>
      <c r="U445" s="9"/>
      <c r="V445" s="9"/>
      <c r="W445" s="9"/>
      <c r="X445" s="9"/>
      <c r="Y445" s="9"/>
      <c r="Z445" s="9"/>
      <c r="AA445" s="9"/>
    </row>
    <row r="446" spans="1:27">
      <c r="A446" s="9"/>
      <c r="B446" s="9"/>
      <c r="C446" s="5"/>
      <c r="D446" s="5"/>
      <c r="E446" s="5"/>
      <c r="F446" s="9"/>
      <c r="G446" s="9"/>
      <c r="H446" s="9"/>
      <c r="I446" s="9"/>
      <c r="J446" s="9"/>
      <c r="K446" s="9"/>
      <c r="L446" s="9"/>
      <c r="M446" s="9"/>
      <c r="N446" s="9"/>
      <c r="O446" s="9"/>
      <c r="P446" s="9"/>
      <c r="Q446" s="9"/>
      <c r="R446" s="9"/>
      <c r="S446" s="9"/>
      <c r="T446" s="9"/>
      <c r="U446" s="9"/>
      <c r="V446" s="9"/>
      <c r="W446" s="9"/>
      <c r="X446" s="9"/>
      <c r="Y446" s="9"/>
      <c r="Z446" s="9"/>
      <c r="AA446" s="9"/>
    </row>
    <row r="447" spans="1:27">
      <c r="A447" s="9"/>
      <c r="B447" s="9"/>
      <c r="C447" s="5"/>
      <c r="D447" s="5"/>
      <c r="E447" s="5"/>
      <c r="F447" s="9"/>
      <c r="G447" s="9"/>
      <c r="H447" s="9"/>
      <c r="I447" s="9"/>
      <c r="J447" s="9"/>
      <c r="K447" s="9"/>
      <c r="L447" s="9"/>
      <c r="M447" s="9"/>
      <c r="N447" s="9"/>
      <c r="O447" s="9"/>
      <c r="P447" s="9"/>
      <c r="Q447" s="9"/>
      <c r="R447" s="9"/>
      <c r="S447" s="9"/>
      <c r="T447" s="9"/>
      <c r="U447" s="9"/>
      <c r="V447" s="9"/>
      <c r="W447" s="9"/>
      <c r="X447" s="9"/>
      <c r="Y447" s="9"/>
      <c r="Z447" s="9"/>
      <c r="AA447" s="9"/>
    </row>
    <row r="448" spans="1:27">
      <c r="A448" s="9"/>
      <c r="B448" s="9"/>
      <c r="C448" s="5"/>
      <c r="D448" s="5"/>
      <c r="E448" s="5"/>
      <c r="F448" s="9"/>
      <c r="G448" s="9"/>
      <c r="H448" s="9"/>
      <c r="I448" s="9"/>
      <c r="J448" s="9"/>
      <c r="K448" s="9"/>
      <c r="L448" s="9"/>
      <c r="M448" s="9"/>
      <c r="N448" s="9"/>
      <c r="O448" s="9"/>
      <c r="P448" s="9"/>
      <c r="Q448" s="9"/>
      <c r="R448" s="9"/>
      <c r="S448" s="9"/>
      <c r="T448" s="9"/>
      <c r="U448" s="9"/>
      <c r="V448" s="9"/>
      <c r="W448" s="9"/>
      <c r="X448" s="9"/>
      <c r="Y448" s="9"/>
      <c r="Z448" s="9"/>
      <c r="AA448" s="9"/>
    </row>
    <row r="449" spans="1:27">
      <c r="A449" s="9"/>
      <c r="B449" s="9"/>
      <c r="C449" s="5"/>
      <c r="D449" s="5"/>
      <c r="E449" s="5"/>
      <c r="F449" s="9"/>
      <c r="G449" s="9"/>
      <c r="H449" s="9"/>
      <c r="I449" s="9"/>
      <c r="J449" s="9"/>
      <c r="K449" s="9"/>
      <c r="L449" s="9"/>
      <c r="M449" s="9"/>
      <c r="N449" s="9"/>
      <c r="O449" s="9"/>
      <c r="P449" s="9"/>
      <c r="Q449" s="9"/>
      <c r="R449" s="9"/>
      <c r="S449" s="9"/>
      <c r="T449" s="9"/>
      <c r="U449" s="9"/>
      <c r="V449" s="9"/>
      <c r="W449" s="9"/>
      <c r="X449" s="9"/>
      <c r="Y449" s="9"/>
      <c r="Z449" s="9"/>
      <c r="AA449" s="9"/>
    </row>
    <row r="450" spans="1:27">
      <c r="A450" s="9"/>
      <c r="B450" s="9"/>
      <c r="C450" s="5"/>
      <c r="D450" s="5"/>
      <c r="E450" s="5"/>
      <c r="F450" s="9"/>
      <c r="G450" s="9"/>
      <c r="H450" s="9"/>
      <c r="I450" s="9"/>
      <c r="J450" s="9"/>
      <c r="K450" s="9"/>
      <c r="L450" s="9"/>
      <c r="M450" s="9"/>
      <c r="N450" s="9"/>
      <c r="O450" s="9"/>
      <c r="P450" s="9"/>
      <c r="Q450" s="9"/>
      <c r="R450" s="9"/>
      <c r="S450" s="9"/>
      <c r="T450" s="9"/>
      <c r="U450" s="9"/>
      <c r="V450" s="9"/>
      <c r="W450" s="9"/>
      <c r="X450" s="9"/>
      <c r="Y450" s="9"/>
      <c r="Z450" s="9"/>
      <c r="AA450" s="9"/>
    </row>
    <row r="451" spans="1:27">
      <c r="A451" s="9"/>
      <c r="B451" s="9"/>
      <c r="C451" s="5"/>
      <c r="D451" s="5"/>
      <c r="E451" s="5"/>
      <c r="F451" s="9"/>
      <c r="G451" s="9"/>
      <c r="H451" s="9"/>
      <c r="I451" s="9"/>
      <c r="J451" s="9"/>
      <c r="K451" s="9"/>
      <c r="L451" s="9"/>
      <c r="M451" s="9"/>
      <c r="N451" s="9"/>
      <c r="O451" s="9"/>
      <c r="P451" s="9"/>
      <c r="Q451" s="9"/>
      <c r="R451" s="9"/>
      <c r="S451" s="9"/>
      <c r="T451" s="9"/>
      <c r="U451" s="9"/>
      <c r="V451" s="9"/>
      <c r="W451" s="9"/>
      <c r="X451" s="9"/>
      <c r="Y451" s="9"/>
      <c r="Z451" s="9"/>
      <c r="AA451" s="9"/>
    </row>
    <row r="452" spans="1:27">
      <c r="A452" s="9"/>
      <c r="B452" s="9"/>
      <c r="C452" s="5"/>
      <c r="D452" s="5"/>
      <c r="E452" s="5"/>
      <c r="F452" s="9"/>
      <c r="G452" s="9"/>
      <c r="H452" s="9"/>
      <c r="I452" s="9"/>
      <c r="J452" s="9"/>
      <c r="K452" s="9"/>
      <c r="L452" s="9"/>
      <c r="M452" s="9"/>
      <c r="N452" s="9"/>
      <c r="O452" s="9"/>
      <c r="P452" s="9"/>
      <c r="Q452" s="9"/>
      <c r="R452" s="9"/>
      <c r="S452" s="9"/>
      <c r="T452" s="9"/>
      <c r="U452" s="9"/>
      <c r="V452" s="9"/>
      <c r="W452" s="9"/>
      <c r="X452" s="9"/>
      <c r="Y452" s="9"/>
      <c r="Z452" s="9"/>
      <c r="AA452" s="9"/>
    </row>
    <row r="453" spans="1:27">
      <c r="A453" s="9"/>
      <c r="B453" s="9"/>
      <c r="C453" s="5"/>
      <c r="D453" s="5"/>
      <c r="E453" s="5"/>
      <c r="F453" s="9"/>
      <c r="G453" s="9"/>
      <c r="H453" s="9"/>
      <c r="I453" s="9"/>
      <c r="J453" s="9"/>
      <c r="K453" s="9"/>
      <c r="L453" s="9"/>
      <c r="M453" s="9"/>
      <c r="N453" s="9"/>
      <c r="O453" s="9"/>
      <c r="P453" s="9"/>
      <c r="Q453" s="9"/>
      <c r="R453" s="9"/>
      <c r="S453" s="9"/>
      <c r="T453" s="9"/>
      <c r="U453" s="9"/>
      <c r="V453" s="9"/>
      <c r="W453" s="9"/>
      <c r="X453" s="9"/>
      <c r="Y453" s="9"/>
      <c r="Z453" s="9"/>
      <c r="AA453" s="9"/>
    </row>
    <row r="454" spans="1:27">
      <c r="A454" s="9"/>
      <c r="B454" s="9"/>
      <c r="C454" s="5"/>
      <c r="D454" s="5"/>
      <c r="E454" s="5"/>
      <c r="F454" s="9"/>
      <c r="G454" s="9"/>
      <c r="H454" s="9"/>
      <c r="I454" s="9"/>
      <c r="J454" s="9"/>
      <c r="K454" s="9"/>
      <c r="L454" s="9"/>
      <c r="M454" s="9"/>
      <c r="N454" s="9"/>
      <c r="O454" s="9"/>
      <c r="P454" s="9"/>
      <c r="Q454" s="9"/>
      <c r="R454" s="9"/>
      <c r="S454" s="9"/>
      <c r="T454" s="9"/>
      <c r="U454" s="9"/>
      <c r="V454" s="9"/>
      <c r="W454" s="9"/>
      <c r="X454" s="9"/>
      <c r="Y454" s="9"/>
      <c r="Z454" s="9"/>
      <c r="AA454" s="9"/>
    </row>
    <row r="455" spans="1:27">
      <c r="A455" s="9"/>
      <c r="B455" s="9"/>
      <c r="C455" s="5"/>
      <c r="D455" s="5"/>
      <c r="E455" s="5"/>
      <c r="F455" s="9"/>
      <c r="G455" s="9"/>
      <c r="H455" s="9"/>
      <c r="I455" s="9"/>
      <c r="J455" s="9"/>
      <c r="K455" s="9"/>
      <c r="L455" s="9"/>
      <c r="M455" s="9"/>
      <c r="N455" s="9"/>
      <c r="O455" s="9"/>
      <c r="P455" s="9"/>
      <c r="Q455" s="9"/>
      <c r="R455" s="9"/>
      <c r="S455" s="9"/>
      <c r="T455" s="9"/>
      <c r="U455" s="9"/>
      <c r="V455" s="9"/>
      <c r="W455" s="9"/>
      <c r="X455" s="9"/>
      <c r="Y455" s="9"/>
      <c r="Z455" s="9"/>
      <c r="AA455" s="9"/>
    </row>
    <row r="456" spans="1:27">
      <c r="A456" s="9"/>
      <c r="B456" s="9"/>
      <c r="C456" s="5"/>
      <c r="D456" s="5"/>
      <c r="E456" s="5"/>
      <c r="F456" s="9"/>
      <c r="G456" s="9"/>
      <c r="H456" s="9"/>
      <c r="I456" s="9"/>
      <c r="J456" s="9"/>
      <c r="K456" s="9"/>
      <c r="L456" s="9"/>
      <c r="M456" s="9"/>
      <c r="N456" s="9"/>
      <c r="O456" s="9"/>
      <c r="P456" s="9"/>
      <c r="Q456" s="9"/>
      <c r="R456" s="9"/>
      <c r="S456" s="9"/>
      <c r="T456" s="9"/>
      <c r="U456" s="9"/>
      <c r="V456" s="9"/>
      <c r="W456" s="9"/>
      <c r="X456" s="9"/>
      <c r="Y456" s="9"/>
      <c r="Z456" s="9"/>
      <c r="AA456" s="9"/>
    </row>
    <row r="457" spans="1:27">
      <c r="A457" s="9"/>
      <c r="B457" s="9"/>
      <c r="C457" s="5"/>
      <c r="D457" s="5"/>
      <c r="E457" s="5"/>
      <c r="F457" s="9"/>
      <c r="G457" s="9"/>
      <c r="H457" s="9"/>
      <c r="I457" s="9"/>
      <c r="J457" s="9"/>
      <c r="K457" s="9"/>
      <c r="L457" s="9"/>
      <c r="M457" s="9"/>
      <c r="N457" s="9"/>
      <c r="O457" s="9"/>
      <c r="P457" s="9"/>
      <c r="Q457" s="9"/>
      <c r="R457" s="9"/>
      <c r="S457" s="9"/>
      <c r="T457" s="9"/>
      <c r="U457" s="9"/>
      <c r="V457" s="9"/>
      <c r="W457" s="9"/>
      <c r="X457" s="9"/>
      <c r="Y457" s="9"/>
      <c r="Z457" s="9"/>
      <c r="AA457" s="9"/>
    </row>
    <row r="458" spans="1:27">
      <c r="A458" s="9"/>
      <c r="B458" s="9"/>
      <c r="C458" s="5"/>
      <c r="D458" s="5"/>
      <c r="E458" s="5"/>
      <c r="F458" s="9"/>
      <c r="G458" s="9"/>
      <c r="H458" s="9"/>
      <c r="I458" s="9"/>
      <c r="J458" s="9"/>
      <c r="K458" s="9"/>
      <c r="L458" s="9"/>
      <c r="M458" s="9"/>
      <c r="N458" s="9"/>
      <c r="O458" s="9"/>
      <c r="P458" s="9"/>
      <c r="Q458" s="9"/>
      <c r="R458" s="9"/>
      <c r="S458" s="9"/>
      <c r="T458" s="9"/>
      <c r="U458" s="9"/>
      <c r="V458" s="9"/>
      <c r="W458" s="9"/>
      <c r="X458" s="9"/>
      <c r="Y458" s="9"/>
      <c r="Z458" s="9"/>
      <c r="AA458" s="9"/>
    </row>
    <row r="459" spans="1:27">
      <c r="A459" s="9"/>
      <c r="B459" s="9"/>
      <c r="C459" s="5"/>
      <c r="D459" s="5"/>
      <c r="E459" s="5"/>
      <c r="F459" s="9"/>
      <c r="G459" s="9"/>
      <c r="H459" s="9"/>
      <c r="I459" s="9"/>
      <c r="J459" s="9"/>
      <c r="K459" s="9"/>
      <c r="L459" s="9"/>
      <c r="M459" s="9"/>
      <c r="N459" s="9"/>
      <c r="O459" s="9"/>
      <c r="P459" s="9"/>
      <c r="Q459" s="9"/>
      <c r="R459" s="9"/>
      <c r="S459" s="9"/>
      <c r="T459" s="9"/>
      <c r="U459" s="9"/>
      <c r="V459" s="9"/>
      <c r="W459" s="9"/>
      <c r="X459" s="9"/>
      <c r="Y459" s="9"/>
      <c r="Z459" s="9"/>
      <c r="AA459" s="9"/>
    </row>
    <row r="460" spans="1:27">
      <c r="A460" s="9"/>
      <c r="B460" s="9"/>
      <c r="C460" s="5"/>
      <c r="D460" s="5"/>
      <c r="E460" s="5"/>
      <c r="F460" s="9"/>
      <c r="G460" s="9"/>
      <c r="H460" s="9"/>
      <c r="I460" s="9"/>
      <c r="J460" s="9"/>
      <c r="K460" s="9"/>
      <c r="L460" s="9"/>
      <c r="M460" s="9"/>
      <c r="N460" s="9"/>
      <c r="O460" s="9"/>
      <c r="P460" s="9"/>
      <c r="Q460" s="9"/>
      <c r="R460" s="9"/>
      <c r="S460" s="9"/>
      <c r="T460" s="9"/>
      <c r="U460" s="9"/>
      <c r="V460" s="9"/>
      <c r="W460" s="9"/>
      <c r="X460" s="9"/>
      <c r="Y460" s="9"/>
      <c r="Z460" s="9"/>
      <c r="AA460" s="9"/>
    </row>
    <row r="461" spans="1:27">
      <c r="A461" s="9"/>
      <c r="B461" s="9"/>
      <c r="C461" s="5"/>
      <c r="D461" s="5"/>
      <c r="E461" s="5"/>
      <c r="F461" s="9"/>
      <c r="G461" s="9"/>
      <c r="H461" s="9"/>
      <c r="I461" s="9"/>
      <c r="J461" s="9"/>
      <c r="K461" s="9"/>
      <c r="L461" s="9"/>
      <c r="M461" s="9"/>
      <c r="N461" s="9"/>
      <c r="O461" s="9"/>
      <c r="P461" s="9"/>
      <c r="Q461" s="9"/>
      <c r="R461" s="9"/>
      <c r="S461" s="9"/>
      <c r="T461" s="9"/>
      <c r="U461" s="9"/>
      <c r="V461" s="9"/>
      <c r="W461" s="9"/>
      <c r="X461" s="9"/>
      <c r="Y461" s="9"/>
      <c r="Z461" s="9"/>
      <c r="AA461" s="9"/>
    </row>
    <row r="462" spans="1:27">
      <c r="A462" s="9"/>
      <c r="B462" s="9"/>
      <c r="C462" s="5"/>
      <c r="D462" s="5"/>
      <c r="E462" s="5"/>
      <c r="F462" s="9"/>
      <c r="G462" s="9"/>
      <c r="H462" s="9"/>
      <c r="I462" s="9"/>
      <c r="J462" s="9"/>
      <c r="K462" s="9"/>
      <c r="L462" s="9"/>
      <c r="M462" s="9"/>
      <c r="N462" s="9"/>
      <c r="O462" s="9"/>
      <c r="P462" s="9"/>
      <c r="Q462" s="9"/>
      <c r="R462" s="9"/>
      <c r="S462" s="9"/>
      <c r="T462" s="9"/>
      <c r="U462" s="9"/>
      <c r="V462" s="9"/>
      <c r="W462" s="9"/>
      <c r="X462" s="9"/>
      <c r="Y462" s="9"/>
      <c r="Z462" s="9"/>
      <c r="AA462" s="9"/>
    </row>
    <row r="463" spans="1:27">
      <c r="A463" s="9"/>
      <c r="B463" s="9"/>
      <c r="C463" s="5"/>
      <c r="D463" s="5"/>
      <c r="E463" s="5"/>
      <c r="F463" s="9"/>
      <c r="G463" s="9"/>
      <c r="H463" s="9"/>
      <c r="I463" s="9"/>
      <c r="J463" s="9"/>
      <c r="K463" s="9"/>
      <c r="L463" s="9"/>
      <c r="M463" s="9"/>
      <c r="N463" s="9"/>
      <c r="O463" s="9"/>
      <c r="P463" s="9"/>
      <c r="Q463" s="9"/>
      <c r="R463" s="9"/>
      <c r="S463" s="9"/>
      <c r="T463" s="9"/>
      <c r="U463" s="9"/>
      <c r="V463" s="9"/>
      <c r="W463" s="9"/>
      <c r="X463" s="9"/>
      <c r="Y463" s="9"/>
      <c r="Z463" s="9"/>
      <c r="AA463" s="9"/>
    </row>
    <row r="464" spans="1:27">
      <c r="A464" s="9"/>
      <c r="B464" s="9"/>
      <c r="C464" s="5"/>
      <c r="D464" s="5"/>
      <c r="E464" s="5"/>
      <c r="F464" s="9"/>
      <c r="G464" s="9"/>
      <c r="H464" s="9"/>
      <c r="I464" s="9"/>
      <c r="J464" s="9"/>
      <c r="K464" s="9"/>
      <c r="L464" s="9"/>
      <c r="M464" s="9"/>
      <c r="N464" s="9"/>
      <c r="O464" s="9"/>
      <c r="P464" s="9"/>
      <c r="Q464" s="9"/>
      <c r="R464" s="9"/>
      <c r="S464" s="9"/>
      <c r="T464" s="9"/>
      <c r="U464" s="9"/>
      <c r="V464" s="9"/>
      <c r="W464" s="9"/>
      <c r="X464" s="9"/>
      <c r="Y464" s="9"/>
      <c r="Z464" s="9"/>
      <c r="AA464" s="9"/>
    </row>
    <row r="465" spans="1:27">
      <c r="A465" s="9"/>
      <c r="B465" s="9"/>
      <c r="C465" s="5"/>
      <c r="D465" s="5"/>
      <c r="E465" s="5"/>
      <c r="F465" s="9"/>
      <c r="G465" s="9"/>
      <c r="H465" s="9"/>
      <c r="I465" s="9"/>
      <c r="J465" s="9"/>
      <c r="K465" s="9"/>
      <c r="L465" s="9"/>
      <c r="M465" s="9"/>
      <c r="N465" s="9"/>
      <c r="O465" s="9"/>
      <c r="P465" s="9"/>
      <c r="Q465" s="9"/>
      <c r="R465" s="9"/>
      <c r="S465" s="9"/>
      <c r="T465" s="9"/>
      <c r="U465" s="9"/>
      <c r="V465" s="9"/>
      <c r="W465" s="9"/>
      <c r="X465" s="9"/>
      <c r="Y465" s="9"/>
      <c r="Z465" s="9"/>
      <c r="AA465" s="9"/>
    </row>
    <row r="466" spans="1:27">
      <c r="A466" s="9"/>
      <c r="B466" s="9"/>
      <c r="C466" s="5"/>
      <c r="D466" s="5"/>
      <c r="E466" s="5"/>
      <c r="F466" s="9"/>
      <c r="G466" s="9"/>
      <c r="H466" s="9"/>
      <c r="I466" s="9"/>
      <c r="J466" s="9"/>
      <c r="K466" s="9"/>
      <c r="L466" s="9"/>
      <c r="M466" s="9"/>
      <c r="N466" s="9"/>
      <c r="O466" s="9"/>
      <c r="P466" s="9"/>
      <c r="Q466" s="9"/>
      <c r="R466" s="9"/>
      <c r="S466" s="9"/>
      <c r="T466" s="9"/>
      <c r="U466" s="9"/>
      <c r="V466" s="9"/>
      <c r="W466" s="9"/>
      <c r="X466" s="9"/>
      <c r="Y466" s="9"/>
      <c r="Z466" s="9"/>
      <c r="AA466" s="9"/>
    </row>
    <row r="467" spans="1:27">
      <c r="A467" s="9"/>
      <c r="B467" s="9"/>
      <c r="C467" s="5"/>
      <c r="D467" s="5"/>
      <c r="E467" s="5"/>
      <c r="F467" s="9"/>
      <c r="G467" s="9"/>
      <c r="H467" s="9"/>
      <c r="I467" s="9"/>
      <c r="J467" s="9"/>
      <c r="K467" s="9"/>
      <c r="L467" s="9"/>
      <c r="M467" s="9"/>
      <c r="N467" s="9"/>
      <c r="O467" s="9"/>
      <c r="P467" s="9"/>
      <c r="Q467" s="9"/>
      <c r="R467" s="9"/>
      <c r="S467" s="9"/>
      <c r="T467" s="9"/>
      <c r="U467" s="9"/>
      <c r="V467" s="9"/>
      <c r="W467" s="9"/>
      <c r="X467" s="9"/>
      <c r="Y467" s="9"/>
      <c r="Z467" s="9"/>
      <c r="AA467" s="9"/>
    </row>
    <row r="468" spans="1:27">
      <c r="A468" s="9"/>
      <c r="B468" s="9"/>
      <c r="C468" s="5"/>
      <c r="D468" s="5"/>
      <c r="E468" s="5"/>
      <c r="F468" s="9"/>
      <c r="G468" s="9"/>
      <c r="H468" s="9"/>
      <c r="I468" s="9"/>
      <c r="J468" s="9"/>
      <c r="K468" s="9"/>
      <c r="L468" s="9"/>
      <c r="M468" s="9"/>
      <c r="N468" s="9"/>
      <c r="O468" s="9"/>
      <c r="P468" s="9"/>
      <c r="Q468" s="9"/>
      <c r="R468" s="9"/>
      <c r="S468" s="9"/>
      <c r="T468" s="9"/>
      <c r="U468" s="9"/>
      <c r="V468" s="9"/>
      <c r="W468" s="9"/>
      <c r="X468" s="9"/>
      <c r="Y468" s="9"/>
      <c r="Z468" s="9"/>
      <c r="AA468" s="9"/>
    </row>
    <row r="469" spans="1:27">
      <c r="A469" s="9"/>
      <c r="B469" s="9"/>
      <c r="C469" s="5"/>
      <c r="D469" s="5"/>
      <c r="E469" s="5"/>
      <c r="F469" s="9"/>
      <c r="G469" s="9"/>
      <c r="H469" s="9"/>
      <c r="I469" s="9"/>
      <c r="J469" s="9"/>
      <c r="K469" s="9"/>
      <c r="L469" s="9"/>
      <c r="M469" s="9"/>
      <c r="N469" s="9"/>
      <c r="O469" s="9"/>
      <c r="P469" s="9"/>
      <c r="Q469" s="9"/>
      <c r="R469" s="9"/>
      <c r="S469" s="9"/>
      <c r="T469" s="9"/>
      <c r="U469" s="9"/>
      <c r="V469" s="9"/>
      <c r="W469" s="9"/>
      <c r="X469" s="9"/>
      <c r="Y469" s="9"/>
      <c r="Z469" s="9"/>
      <c r="AA469" s="9"/>
    </row>
    <row r="470" spans="1:27">
      <c r="A470" s="9"/>
      <c r="B470" s="9"/>
      <c r="C470" s="5"/>
      <c r="D470" s="5"/>
      <c r="E470" s="5"/>
      <c r="F470" s="9"/>
      <c r="G470" s="9"/>
      <c r="H470" s="9"/>
      <c r="I470" s="9"/>
      <c r="J470" s="9"/>
      <c r="K470" s="9"/>
      <c r="L470" s="9"/>
      <c r="M470" s="9"/>
      <c r="N470" s="9"/>
      <c r="O470" s="9"/>
      <c r="P470" s="9"/>
      <c r="Q470" s="9"/>
      <c r="R470" s="9"/>
      <c r="S470" s="9"/>
      <c r="T470" s="9"/>
      <c r="U470" s="9"/>
      <c r="V470" s="9"/>
      <c r="W470" s="9"/>
      <c r="X470" s="9"/>
      <c r="Y470" s="9"/>
      <c r="Z470" s="9"/>
      <c r="AA470" s="9"/>
    </row>
    <row r="471" spans="1:27">
      <c r="A471" s="9"/>
      <c r="B471" s="9"/>
      <c r="C471" s="5"/>
      <c r="D471" s="5"/>
      <c r="E471" s="5"/>
      <c r="F471" s="9"/>
      <c r="G471" s="9"/>
      <c r="H471" s="9"/>
      <c r="I471" s="9"/>
      <c r="J471" s="9"/>
      <c r="K471" s="9"/>
      <c r="L471" s="9"/>
      <c r="M471" s="9"/>
      <c r="N471" s="9"/>
      <c r="O471" s="9"/>
      <c r="P471" s="9"/>
      <c r="Q471" s="9"/>
      <c r="R471" s="9"/>
      <c r="S471" s="9"/>
      <c r="T471" s="9"/>
      <c r="U471" s="9"/>
      <c r="V471" s="9"/>
      <c r="W471" s="9"/>
      <c r="X471" s="9"/>
      <c r="Y471" s="9"/>
      <c r="Z471" s="9"/>
      <c r="AA471" s="9"/>
    </row>
    <row r="472" spans="1:27">
      <c r="A472" s="9"/>
      <c r="B472" s="9"/>
      <c r="C472" s="5"/>
      <c r="D472" s="5"/>
      <c r="E472" s="5"/>
      <c r="F472" s="9"/>
      <c r="G472" s="9"/>
      <c r="H472" s="9"/>
      <c r="I472" s="9"/>
      <c r="J472" s="9"/>
      <c r="K472" s="9"/>
      <c r="L472" s="9"/>
      <c r="M472" s="9"/>
      <c r="N472" s="9"/>
      <c r="O472" s="9"/>
      <c r="P472" s="9"/>
      <c r="Q472" s="9"/>
      <c r="R472" s="9"/>
      <c r="S472" s="9"/>
      <c r="T472" s="9"/>
      <c r="U472" s="9"/>
      <c r="V472" s="9"/>
      <c r="W472" s="9"/>
      <c r="X472" s="9"/>
      <c r="Y472" s="9"/>
      <c r="Z472" s="9"/>
      <c r="AA472" s="9"/>
    </row>
    <row r="473" spans="1:27">
      <c r="A473" s="9"/>
      <c r="B473" s="9"/>
      <c r="C473" s="5"/>
      <c r="D473" s="5"/>
      <c r="E473" s="5"/>
      <c r="F473" s="9"/>
      <c r="G473" s="9"/>
      <c r="H473" s="9"/>
      <c r="I473" s="9"/>
      <c r="J473" s="9"/>
      <c r="K473" s="9"/>
      <c r="L473" s="9"/>
      <c r="M473" s="9"/>
      <c r="N473" s="9"/>
      <c r="O473" s="9"/>
      <c r="P473" s="9"/>
      <c r="Q473" s="9"/>
      <c r="R473" s="9"/>
      <c r="S473" s="9"/>
      <c r="T473" s="9"/>
      <c r="U473" s="9"/>
      <c r="V473" s="9"/>
      <c r="W473" s="9"/>
      <c r="X473" s="9"/>
      <c r="Y473" s="9"/>
      <c r="Z473" s="9"/>
      <c r="AA473" s="9"/>
    </row>
    <row r="474" spans="1:27">
      <c r="A474" s="9"/>
      <c r="B474" s="9"/>
      <c r="C474" s="5"/>
      <c r="D474" s="5"/>
      <c r="E474" s="5"/>
      <c r="F474" s="9"/>
      <c r="G474" s="9"/>
      <c r="H474" s="9"/>
      <c r="I474" s="9"/>
      <c r="J474" s="9"/>
      <c r="K474" s="9"/>
      <c r="L474" s="9"/>
      <c r="M474" s="9"/>
      <c r="N474" s="9"/>
      <c r="O474" s="9"/>
      <c r="P474" s="9"/>
      <c r="Q474" s="9"/>
      <c r="R474" s="9"/>
      <c r="S474" s="9"/>
      <c r="T474" s="9"/>
      <c r="U474" s="9"/>
      <c r="V474" s="9"/>
      <c r="W474" s="9"/>
      <c r="X474" s="9"/>
      <c r="Y474" s="9"/>
      <c r="Z474" s="9"/>
      <c r="AA474" s="9"/>
    </row>
    <row r="475" spans="1:27">
      <c r="A475" s="9"/>
      <c r="B475" s="9"/>
      <c r="C475" s="5"/>
      <c r="D475" s="5"/>
      <c r="E475" s="5"/>
      <c r="F475" s="9"/>
      <c r="G475" s="9"/>
      <c r="H475" s="9"/>
      <c r="I475" s="9"/>
      <c r="J475" s="9"/>
      <c r="K475" s="9"/>
      <c r="L475" s="9"/>
      <c r="M475" s="9"/>
      <c r="N475" s="9"/>
      <c r="O475" s="9"/>
      <c r="P475" s="9"/>
      <c r="Q475" s="9"/>
      <c r="R475" s="9"/>
      <c r="S475" s="9"/>
      <c r="T475" s="9"/>
      <c r="U475" s="9"/>
      <c r="V475" s="9"/>
      <c r="W475" s="9"/>
      <c r="X475" s="9"/>
      <c r="Y475" s="9"/>
      <c r="Z475" s="9"/>
      <c r="AA475" s="9"/>
    </row>
    <row r="476" spans="1:27">
      <c r="A476" s="9"/>
      <c r="B476" s="9"/>
      <c r="C476" s="5"/>
      <c r="D476" s="5"/>
      <c r="E476" s="5"/>
      <c r="F476" s="9"/>
      <c r="G476" s="9"/>
      <c r="H476" s="9"/>
      <c r="I476" s="9"/>
      <c r="J476" s="9"/>
      <c r="K476" s="9"/>
      <c r="L476" s="9"/>
      <c r="M476" s="9"/>
      <c r="N476" s="9"/>
      <c r="O476" s="9"/>
      <c r="P476" s="9"/>
      <c r="Q476" s="9"/>
      <c r="R476" s="9"/>
      <c r="S476" s="9"/>
      <c r="T476" s="9"/>
      <c r="U476" s="9"/>
      <c r="V476" s="9"/>
      <c r="W476" s="9"/>
      <c r="X476" s="9"/>
      <c r="Y476" s="9"/>
      <c r="Z476" s="9"/>
      <c r="AA476" s="9"/>
    </row>
    <row r="477" spans="1:27">
      <c r="A477" s="9"/>
      <c r="B477" s="9"/>
      <c r="C477" s="5"/>
      <c r="D477" s="5"/>
      <c r="E477" s="5"/>
      <c r="F477" s="9"/>
      <c r="G477" s="9"/>
      <c r="H477" s="9"/>
      <c r="I477" s="9"/>
      <c r="J477" s="9"/>
      <c r="K477" s="9"/>
      <c r="L477" s="9"/>
      <c r="M477" s="9"/>
      <c r="N477" s="9"/>
      <c r="O477" s="9"/>
      <c r="P477" s="9"/>
      <c r="Q477" s="9"/>
      <c r="R477" s="9"/>
      <c r="S477" s="9"/>
      <c r="T477" s="9"/>
      <c r="U477" s="9"/>
      <c r="V477" s="9"/>
      <c r="W477" s="9"/>
      <c r="X477" s="9"/>
      <c r="Y477" s="9"/>
      <c r="Z477" s="9"/>
      <c r="AA477" s="9"/>
    </row>
    <row r="478" spans="1:27">
      <c r="A478" s="9"/>
      <c r="B478" s="9"/>
      <c r="C478" s="5"/>
      <c r="D478" s="5"/>
      <c r="E478" s="5"/>
      <c r="F478" s="9"/>
      <c r="G478" s="9"/>
      <c r="H478" s="9"/>
      <c r="I478" s="9"/>
      <c r="J478" s="9"/>
      <c r="K478" s="9"/>
      <c r="L478" s="9"/>
      <c r="M478" s="9"/>
      <c r="N478" s="9"/>
      <c r="O478" s="9"/>
      <c r="P478" s="9"/>
      <c r="Q478" s="9"/>
      <c r="R478" s="9"/>
      <c r="S478" s="9"/>
      <c r="T478" s="9"/>
      <c r="U478" s="9"/>
      <c r="V478" s="9"/>
      <c r="W478" s="9"/>
      <c r="X478" s="9"/>
      <c r="Y478" s="9"/>
      <c r="Z478" s="9"/>
      <c r="AA478" s="9"/>
    </row>
    <row r="479" spans="1:27">
      <c r="A479" s="9"/>
      <c r="B479" s="9"/>
      <c r="C479" s="5"/>
      <c r="D479" s="5"/>
      <c r="E479" s="5"/>
      <c r="F479" s="9"/>
      <c r="G479" s="9"/>
      <c r="H479" s="9"/>
      <c r="I479" s="9"/>
      <c r="J479" s="9"/>
      <c r="K479" s="9"/>
      <c r="L479" s="9"/>
      <c r="M479" s="9"/>
      <c r="N479" s="9"/>
      <c r="O479" s="9"/>
      <c r="P479" s="9"/>
      <c r="Q479" s="9"/>
      <c r="R479" s="9"/>
      <c r="S479" s="9"/>
      <c r="T479" s="9"/>
      <c r="U479" s="9"/>
      <c r="V479" s="9"/>
      <c r="W479" s="9"/>
      <c r="X479" s="9"/>
      <c r="Y479" s="9"/>
      <c r="Z479" s="9"/>
      <c r="AA479" s="9"/>
    </row>
    <row r="480" spans="1:27">
      <c r="A480" s="9"/>
      <c r="B480" s="9"/>
      <c r="C480" s="5"/>
      <c r="D480" s="5"/>
      <c r="E480" s="5"/>
      <c r="F480" s="9"/>
      <c r="G480" s="9"/>
      <c r="H480" s="9"/>
      <c r="I480" s="9"/>
      <c r="J480" s="9"/>
      <c r="K480" s="9"/>
      <c r="L480" s="9"/>
      <c r="M480" s="9"/>
      <c r="N480" s="9"/>
      <c r="O480" s="9"/>
      <c r="P480" s="9"/>
      <c r="Q480" s="9"/>
      <c r="R480" s="9"/>
      <c r="S480" s="9"/>
      <c r="T480" s="9"/>
      <c r="U480" s="9"/>
      <c r="V480" s="9"/>
      <c r="W480" s="9"/>
      <c r="X480" s="9"/>
      <c r="Y480" s="9"/>
      <c r="Z480" s="9"/>
      <c r="AA480" s="9"/>
    </row>
    <row r="481" spans="1:27">
      <c r="A481" s="9"/>
      <c r="B481" s="9"/>
      <c r="C481" s="5"/>
      <c r="D481" s="5"/>
      <c r="E481" s="5"/>
      <c r="F481" s="9"/>
      <c r="G481" s="9"/>
      <c r="H481" s="9"/>
      <c r="I481" s="9"/>
      <c r="J481" s="9"/>
      <c r="K481" s="9"/>
      <c r="L481" s="9"/>
      <c r="M481" s="9"/>
      <c r="N481" s="9"/>
      <c r="O481" s="9"/>
      <c r="P481" s="9"/>
      <c r="Q481" s="9"/>
      <c r="R481" s="9"/>
      <c r="S481" s="9"/>
      <c r="T481" s="9"/>
      <c r="U481" s="9"/>
      <c r="V481" s="9"/>
      <c r="W481" s="9"/>
      <c r="X481" s="9"/>
      <c r="Y481" s="9"/>
      <c r="Z481" s="9"/>
      <c r="AA481" s="9"/>
    </row>
    <row r="482" spans="1:27">
      <c r="A482" s="9"/>
      <c r="B482" s="9"/>
      <c r="C482" s="5"/>
      <c r="D482" s="5"/>
      <c r="E482" s="5"/>
      <c r="F482" s="9"/>
      <c r="G482" s="9"/>
      <c r="H482" s="9"/>
      <c r="I482" s="9"/>
      <c r="J482" s="9"/>
      <c r="K482" s="9"/>
      <c r="L482" s="9"/>
      <c r="M482" s="9"/>
      <c r="N482" s="9"/>
      <c r="O482" s="9"/>
      <c r="P482" s="9"/>
      <c r="Q482" s="9"/>
      <c r="R482" s="9"/>
      <c r="S482" s="9"/>
      <c r="T482" s="9"/>
      <c r="U482" s="9"/>
      <c r="V482" s="9"/>
      <c r="W482" s="9"/>
      <c r="X482" s="9"/>
      <c r="Y482" s="9"/>
      <c r="Z482" s="9"/>
      <c r="AA482" s="9"/>
    </row>
    <row r="483" spans="1:27">
      <c r="A483" s="9"/>
      <c r="B483" s="9"/>
      <c r="C483" s="5"/>
      <c r="D483" s="5"/>
      <c r="E483" s="5"/>
      <c r="F483" s="9"/>
      <c r="G483" s="9"/>
      <c r="H483" s="9"/>
      <c r="I483" s="9"/>
      <c r="J483" s="9"/>
      <c r="K483" s="9"/>
      <c r="L483" s="9"/>
      <c r="M483" s="9"/>
      <c r="N483" s="9"/>
      <c r="O483" s="9"/>
      <c r="P483" s="9"/>
      <c r="Q483" s="9"/>
      <c r="R483" s="9"/>
      <c r="S483" s="9"/>
      <c r="T483" s="9"/>
      <c r="U483" s="9"/>
      <c r="V483" s="9"/>
      <c r="W483" s="9"/>
      <c r="X483" s="9"/>
      <c r="Y483" s="9"/>
      <c r="Z483" s="9"/>
      <c r="AA483" s="9"/>
    </row>
    <row r="484" spans="1:27">
      <c r="A484" s="9"/>
      <c r="B484" s="9"/>
      <c r="C484" s="5"/>
      <c r="D484" s="5"/>
      <c r="E484" s="5"/>
      <c r="F484" s="9"/>
      <c r="G484" s="9"/>
      <c r="H484" s="9"/>
      <c r="I484" s="9"/>
      <c r="J484" s="9"/>
      <c r="K484" s="9"/>
      <c r="L484" s="9"/>
      <c r="M484" s="9"/>
      <c r="N484" s="9"/>
      <c r="O484" s="9"/>
      <c r="P484" s="9"/>
      <c r="Q484" s="9"/>
      <c r="R484" s="9"/>
      <c r="S484" s="9"/>
      <c r="T484" s="9"/>
      <c r="U484" s="9"/>
      <c r="V484" s="9"/>
      <c r="W484" s="9"/>
      <c r="X484" s="9"/>
      <c r="Y484" s="9"/>
      <c r="Z484" s="9"/>
      <c r="AA484" s="9"/>
    </row>
    <row r="485" spans="1:27">
      <c r="A485" s="9"/>
      <c r="B485" s="9"/>
      <c r="C485" s="5"/>
      <c r="D485" s="5"/>
      <c r="E485" s="5"/>
      <c r="F485" s="9"/>
      <c r="G485" s="9"/>
      <c r="H485" s="9"/>
      <c r="I485" s="9"/>
      <c r="J485" s="9"/>
      <c r="K485" s="9"/>
      <c r="L485" s="9"/>
      <c r="M485" s="9"/>
      <c r="N485" s="9"/>
      <c r="O485" s="9"/>
      <c r="P485" s="9"/>
      <c r="Q485" s="9"/>
      <c r="R485" s="9"/>
      <c r="S485" s="9"/>
      <c r="T485" s="9"/>
      <c r="U485" s="9"/>
      <c r="V485" s="9"/>
      <c r="W485" s="9"/>
      <c r="X485" s="9"/>
      <c r="Y485" s="9"/>
      <c r="Z485" s="9"/>
      <c r="AA485" s="9"/>
    </row>
    <row r="486" spans="1:27">
      <c r="A486" s="9"/>
      <c r="B486" s="9"/>
      <c r="C486" s="5"/>
      <c r="D486" s="5"/>
      <c r="E486" s="5"/>
      <c r="F486" s="9"/>
      <c r="G486" s="9"/>
      <c r="H486" s="9"/>
      <c r="I486" s="9"/>
      <c r="J486" s="9"/>
      <c r="K486" s="9"/>
      <c r="L486" s="9"/>
      <c r="M486" s="9"/>
      <c r="N486" s="9"/>
      <c r="O486" s="9"/>
      <c r="P486" s="9"/>
      <c r="Q486" s="9"/>
      <c r="R486" s="9"/>
      <c r="S486" s="9"/>
      <c r="T486" s="9"/>
      <c r="U486" s="9"/>
      <c r="V486" s="9"/>
      <c r="W486" s="9"/>
      <c r="X486" s="9"/>
      <c r="Y486" s="9"/>
      <c r="Z486" s="9"/>
      <c r="AA486" s="9"/>
    </row>
    <row r="487" spans="1:27">
      <c r="A487" s="9"/>
      <c r="B487" s="9"/>
      <c r="C487" s="5"/>
      <c r="D487" s="5"/>
      <c r="E487" s="5"/>
      <c r="F487" s="9"/>
      <c r="G487" s="9"/>
      <c r="H487" s="9"/>
      <c r="I487" s="9"/>
      <c r="J487" s="9"/>
      <c r="K487" s="9"/>
      <c r="L487" s="9"/>
      <c r="M487" s="9"/>
      <c r="N487" s="9"/>
      <c r="O487" s="9"/>
      <c r="P487" s="9"/>
      <c r="Q487" s="9"/>
      <c r="R487" s="9"/>
      <c r="S487" s="9"/>
      <c r="T487" s="9"/>
      <c r="U487" s="9"/>
      <c r="V487" s="9"/>
      <c r="W487" s="9"/>
      <c r="X487" s="9"/>
      <c r="Y487" s="9"/>
      <c r="Z487" s="9"/>
      <c r="AA487" s="9"/>
    </row>
    <row r="488" spans="1:27">
      <c r="A488" s="9"/>
      <c r="B488" s="9"/>
      <c r="C488" s="5"/>
      <c r="D488" s="5"/>
      <c r="E488" s="5"/>
      <c r="F488" s="9"/>
      <c r="G488" s="9"/>
      <c r="H488" s="9"/>
      <c r="I488" s="9"/>
      <c r="J488" s="9"/>
      <c r="K488" s="9"/>
      <c r="L488" s="9"/>
      <c r="M488" s="9"/>
      <c r="N488" s="9"/>
      <c r="O488" s="9"/>
      <c r="P488" s="9"/>
      <c r="Q488" s="9"/>
      <c r="R488" s="9"/>
      <c r="S488" s="9"/>
      <c r="T488" s="9"/>
      <c r="U488" s="9"/>
      <c r="V488" s="9"/>
      <c r="W488" s="9"/>
      <c r="X488" s="9"/>
      <c r="Y488" s="9"/>
      <c r="Z488" s="9"/>
      <c r="AA488" s="9"/>
    </row>
    <row r="489" spans="1:27">
      <c r="A489" s="9"/>
      <c r="B489" s="9"/>
      <c r="C489" s="5"/>
      <c r="D489" s="5"/>
      <c r="E489" s="5"/>
      <c r="F489" s="9"/>
      <c r="G489" s="9"/>
      <c r="H489" s="9"/>
      <c r="I489" s="9"/>
      <c r="J489" s="9"/>
      <c r="K489" s="9"/>
      <c r="L489" s="9"/>
      <c r="M489" s="9"/>
      <c r="N489" s="9"/>
      <c r="O489" s="9"/>
      <c r="P489" s="9"/>
      <c r="Q489" s="9"/>
      <c r="R489" s="9"/>
      <c r="S489" s="9"/>
      <c r="T489" s="9"/>
      <c r="U489" s="9"/>
      <c r="V489" s="9"/>
      <c r="W489" s="9"/>
      <c r="X489" s="9"/>
      <c r="Y489" s="9"/>
      <c r="Z489" s="9"/>
      <c r="AA489" s="9"/>
    </row>
    <row r="490" spans="1:27">
      <c r="A490" s="9"/>
      <c r="B490" s="9"/>
      <c r="C490" s="5"/>
      <c r="D490" s="5"/>
      <c r="E490" s="5"/>
      <c r="F490" s="9"/>
      <c r="G490" s="9"/>
      <c r="H490" s="9"/>
      <c r="I490" s="9"/>
      <c r="J490" s="9"/>
      <c r="K490" s="9"/>
      <c r="L490" s="9"/>
      <c r="M490" s="9"/>
      <c r="N490" s="9"/>
      <c r="O490" s="9"/>
      <c r="P490" s="9"/>
      <c r="Q490" s="9"/>
      <c r="R490" s="9"/>
      <c r="S490" s="9"/>
      <c r="T490" s="9"/>
      <c r="U490" s="9"/>
      <c r="V490" s="9"/>
      <c r="W490" s="9"/>
      <c r="X490" s="9"/>
      <c r="Y490" s="9"/>
      <c r="Z490" s="9"/>
      <c r="AA490" s="9"/>
    </row>
    <row r="491" spans="1:27">
      <c r="A491" s="9"/>
      <c r="B491" s="9"/>
      <c r="C491" s="5"/>
      <c r="D491" s="5"/>
      <c r="E491" s="5"/>
      <c r="F491" s="9"/>
      <c r="G491" s="9"/>
      <c r="H491" s="9"/>
      <c r="I491" s="9"/>
      <c r="J491" s="9"/>
      <c r="K491" s="9"/>
      <c r="L491" s="9"/>
      <c r="M491" s="9"/>
      <c r="N491" s="9"/>
      <c r="O491" s="9"/>
      <c r="P491" s="9"/>
      <c r="Q491" s="9"/>
      <c r="R491" s="9"/>
      <c r="S491" s="9"/>
      <c r="T491" s="9"/>
      <c r="U491" s="9"/>
      <c r="V491" s="9"/>
      <c r="W491" s="9"/>
      <c r="X491" s="9"/>
      <c r="Y491" s="9"/>
      <c r="Z491" s="9"/>
      <c r="AA491" s="9"/>
    </row>
    <row r="492" spans="1:27">
      <c r="A492" s="9"/>
      <c r="B492" s="9"/>
      <c r="C492" s="5"/>
      <c r="D492" s="5"/>
      <c r="E492" s="5"/>
      <c r="F492" s="9"/>
      <c r="G492" s="9"/>
      <c r="H492" s="9"/>
      <c r="I492" s="9"/>
      <c r="J492" s="9"/>
      <c r="K492" s="9"/>
      <c r="L492" s="9"/>
      <c r="M492" s="9"/>
      <c r="N492" s="9"/>
      <c r="O492" s="9"/>
      <c r="P492" s="9"/>
      <c r="Q492" s="9"/>
      <c r="R492" s="9"/>
      <c r="S492" s="9"/>
      <c r="T492" s="9"/>
      <c r="U492" s="9"/>
      <c r="V492" s="9"/>
      <c r="W492" s="9"/>
      <c r="X492" s="9"/>
      <c r="Y492" s="9"/>
      <c r="Z492" s="9"/>
      <c r="AA492" s="9"/>
    </row>
    <row r="493" spans="1:27">
      <c r="A493" s="9"/>
      <c r="B493" s="9"/>
      <c r="C493" s="5"/>
      <c r="D493" s="5"/>
      <c r="E493" s="5"/>
      <c r="F493" s="9"/>
      <c r="G493" s="9"/>
      <c r="H493" s="9"/>
      <c r="I493" s="9"/>
      <c r="J493" s="9"/>
      <c r="K493" s="9"/>
      <c r="L493" s="9"/>
      <c r="M493" s="9"/>
      <c r="N493" s="9"/>
      <c r="O493" s="9"/>
      <c r="P493" s="9"/>
      <c r="Q493" s="9"/>
      <c r="R493" s="9"/>
      <c r="S493" s="9"/>
      <c r="T493" s="9"/>
      <c r="U493" s="9"/>
      <c r="V493" s="9"/>
      <c r="W493" s="9"/>
      <c r="X493" s="9"/>
      <c r="Y493" s="9"/>
      <c r="Z493" s="9"/>
      <c r="AA493" s="9"/>
    </row>
    <row r="494" spans="1:27">
      <c r="A494" s="9"/>
      <c r="B494" s="9"/>
      <c r="C494" s="5"/>
      <c r="D494" s="5"/>
      <c r="E494" s="5"/>
      <c r="F494" s="9"/>
      <c r="G494" s="9"/>
      <c r="H494" s="9"/>
      <c r="I494" s="9"/>
      <c r="J494" s="9"/>
      <c r="K494" s="9"/>
      <c r="L494" s="9"/>
      <c r="M494" s="9"/>
      <c r="N494" s="9"/>
      <c r="O494" s="9"/>
      <c r="P494" s="9"/>
      <c r="Q494" s="9"/>
      <c r="R494" s="9"/>
      <c r="S494" s="9"/>
      <c r="T494" s="9"/>
      <c r="U494" s="9"/>
      <c r="V494" s="9"/>
      <c r="W494" s="9"/>
      <c r="X494" s="9"/>
      <c r="Y494" s="9"/>
      <c r="Z494" s="9"/>
      <c r="AA494" s="9"/>
    </row>
    <row r="495" spans="1:27">
      <c r="A495" s="9"/>
      <c r="B495" s="9"/>
      <c r="C495" s="5"/>
      <c r="D495" s="5"/>
      <c r="E495" s="5"/>
      <c r="F495" s="9"/>
      <c r="G495" s="9"/>
      <c r="H495" s="9"/>
      <c r="I495" s="9"/>
      <c r="J495" s="9"/>
      <c r="K495" s="9"/>
      <c r="L495" s="9"/>
      <c r="M495" s="9"/>
      <c r="N495" s="9"/>
      <c r="O495" s="9"/>
      <c r="P495" s="9"/>
      <c r="Q495" s="9"/>
      <c r="R495" s="9"/>
      <c r="S495" s="9"/>
      <c r="T495" s="9"/>
      <c r="U495" s="9"/>
      <c r="V495" s="9"/>
      <c r="W495" s="9"/>
      <c r="X495" s="9"/>
      <c r="Y495" s="9"/>
      <c r="Z495" s="9"/>
      <c r="AA495" s="9"/>
    </row>
    <row r="496" spans="1:27">
      <c r="A496" s="9"/>
      <c r="B496" s="9"/>
      <c r="C496" s="5"/>
      <c r="D496" s="5"/>
      <c r="E496" s="5"/>
      <c r="F496" s="9"/>
      <c r="G496" s="9"/>
      <c r="H496" s="9"/>
      <c r="I496" s="9"/>
      <c r="J496" s="9"/>
      <c r="K496" s="9"/>
      <c r="L496" s="9"/>
      <c r="M496" s="9"/>
      <c r="N496" s="9"/>
      <c r="O496" s="9"/>
      <c r="P496" s="9"/>
      <c r="Q496" s="9"/>
      <c r="R496" s="9"/>
      <c r="S496" s="9"/>
      <c r="T496" s="9"/>
      <c r="U496" s="9"/>
      <c r="V496" s="9"/>
      <c r="W496" s="9"/>
      <c r="X496" s="9"/>
      <c r="Y496" s="9"/>
      <c r="Z496" s="9"/>
      <c r="AA496" s="9"/>
    </row>
    <row r="497" spans="1:27">
      <c r="A497" s="9"/>
      <c r="B497" s="9"/>
      <c r="C497" s="5"/>
      <c r="D497" s="5"/>
      <c r="E497" s="5"/>
      <c r="F497" s="9"/>
      <c r="G497" s="9"/>
      <c r="H497" s="9"/>
      <c r="I497" s="9"/>
      <c r="J497" s="9"/>
      <c r="K497" s="9"/>
      <c r="L497" s="9"/>
      <c r="M497" s="9"/>
      <c r="N497" s="9"/>
      <c r="O497" s="9"/>
      <c r="P497" s="9"/>
      <c r="Q497" s="9"/>
      <c r="R497" s="9"/>
      <c r="S497" s="9"/>
      <c r="T497" s="9"/>
      <c r="U497" s="9"/>
      <c r="V497" s="9"/>
      <c r="W497" s="9"/>
      <c r="X497" s="9"/>
      <c r="Y497" s="9"/>
      <c r="Z497" s="9"/>
      <c r="AA497" s="9"/>
    </row>
    <row r="498" spans="1:27">
      <c r="A498" s="9"/>
      <c r="B498" s="9"/>
      <c r="C498" s="5"/>
      <c r="D498" s="5"/>
      <c r="E498" s="5"/>
      <c r="F498" s="9"/>
      <c r="G498" s="9"/>
      <c r="H498" s="9"/>
      <c r="I498" s="9"/>
      <c r="J498" s="9"/>
      <c r="K498" s="9"/>
      <c r="L498" s="9"/>
      <c r="M498" s="9"/>
      <c r="N498" s="9"/>
      <c r="O498" s="9"/>
      <c r="P498" s="9"/>
      <c r="Q498" s="9"/>
      <c r="R498" s="9"/>
      <c r="S498" s="9"/>
      <c r="T498" s="9"/>
      <c r="U498" s="9"/>
      <c r="V498" s="9"/>
      <c r="W498" s="9"/>
      <c r="X498" s="9"/>
      <c r="Y498" s="9"/>
      <c r="Z498" s="9"/>
      <c r="AA498" s="9"/>
    </row>
    <row r="499" spans="1:27">
      <c r="A499" s="9"/>
      <c r="B499" s="9"/>
      <c r="C499" s="5"/>
      <c r="D499" s="5"/>
      <c r="E499" s="5"/>
      <c r="F499" s="9"/>
      <c r="G499" s="9"/>
      <c r="H499" s="9"/>
      <c r="I499" s="9"/>
      <c r="J499" s="9"/>
      <c r="K499" s="9"/>
      <c r="L499" s="9"/>
      <c r="M499" s="9"/>
      <c r="N499" s="9"/>
      <c r="O499" s="9"/>
      <c r="P499" s="9"/>
      <c r="Q499" s="9"/>
      <c r="R499" s="9"/>
      <c r="S499" s="9"/>
      <c r="T499" s="9"/>
      <c r="U499" s="9"/>
      <c r="V499" s="9"/>
      <c r="W499" s="9"/>
      <c r="X499" s="9"/>
      <c r="Y499" s="9"/>
      <c r="Z499" s="9"/>
      <c r="AA499" s="9"/>
    </row>
    <row r="500" spans="1:27">
      <c r="A500" s="9"/>
      <c r="B500" s="9"/>
      <c r="C500" s="5"/>
      <c r="D500" s="5"/>
      <c r="E500" s="5"/>
      <c r="F500" s="9"/>
      <c r="G500" s="9"/>
      <c r="H500" s="9"/>
      <c r="I500" s="9"/>
      <c r="J500" s="9"/>
      <c r="K500" s="9"/>
      <c r="L500" s="9"/>
      <c r="M500" s="9"/>
      <c r="N500" s="9"/>
      <c r="O500" s="9"/>
      <c r="P500" s="9"/>
      <c r="Q500" s="9"/>
      <c r="R500" s="9"/>
      <c r="S500" s="9"/>
      <c r="T500" s="9"/>
      <c r="U500" s="9"/>
      <c r="V500" s="9"/>
      <c r="W500" s="9"/>
      <c r="X500" s="9"/>
      <c r="Y500" s="9"/>
      <c r="Z500" s="9"/>
      <c r="AA500" s="9"/>
    </row>
    <row r="501" spans="1:27">
      <c r="A501" s="9"/>
      <c r="B501" s="9"/>
      <c r="C501" s="5"/>
      <c r="D501" s="5"/>
      <c r="E501" s="5"/>
      <c r="F501" s="9"/>
      <c r="G501" s="9"/>
      <c r="H501" s="9"/>
      <c r="I501" s="9"/>
      <c r="J501" s="9"/>
      <c r="K501" s="9"/>
      <c r="L501" s="9"/>
      <c r="M501" s="9"/>
      <c r="N501" s="9"/>
      <c r="O501" s="9"/>
      <c r="P501" s="9"/>
      <c r="Q501" s="9"/>
      <c r="R501" s="9"/>
      <c r="S501" s="9"/>
      <c r="T501" s="9"/>
      <c r="U501" s="9"/>
      <c r="V501" s="9"/>
      <c r="W501" s="9"/>
      <c r="X501" s="9"/>
      <c r="Y501" s="9"/>
      <c r="Z501" s="9"/>
      <c r="AA501" s="9"/>
    </row>
    <row r="502" spans="1:27">
      <c r="A502" s="9"/>
      <c r="B502" s="9"/>
      <c r="C502" s="5"/>
      <c r="D502" s="5"/>
      <c r="E502" s="5"/>
      <c r="F502" s="9"/>
      <c r="G502" s="9"/>
      <c r="H502" s="9"/>
      <c r="I502" s="9"/>
      <c r="J502" s="9"/>
      <c r="K502" s="9"/>
      <c r="L502" s="9"/>
      <c r="M502" s="9"/>
      <c r="N502" s="9"/>
      <c r="O502" s="9"/>
      <c r="P502" s="9"/>
      <c r="Q502" s="9"/>
      <c r="R502" s="9"/>
      <c r="S502" s="9"/>
      <c r="T502" s="9"/>
      <c r="U502" s="9"/>
      <c r="V502" s="9"/>
      <c r="W502" s="9"/>
      <c r="X502" s="9"/>
      <c r="Y502" s="9"/>
      <c r="Z502" s="9"/>
      <c r="AA502" s="9"/>
    </row>
    <row r="503" spans="1:27">
      <c r="A503" s="9"/>
      <c r="B503" s="9"/>
      <c r="C503" s="5"/>
      <c r="D503" s="5"/>
      <c r="E503" s="5"/>
      <c r="F503" s="9"/>
      <c r="G503" s="9"/>
      <c r="H503" s="9"/>
      <c r="I503" s="9"/>
      <c r="J503" s="9"/>
      <c r="K503" s="9"/>
      <c r="L503" s="9"/>
      <c r="M503" s="9"/>
      <c r="N503" s="9"/>
      <c r="O503" s="9"/>
      <c r="P503" s="9"/>
      <c r="Q503" s="9"/>
      <c r="R503" s="9"/>
      <c r="S503" s="9"/>
      <c r="T503" s="9"/>
      <c r="U503" s="9"/>
      <c r="V503" s="9"/>
      <c r="W503" s="9"/>
      <c r="X503" s="9"/>
      <c r="Y503" s="9"/>
      <c r="Z503" s="9"/>
      <c r="AA503" s="9"/>
    </row>
    <row r="504" spans="1:27">
      <c r="A504" s="9"/>
      <c r="B504" s="9"/>
      <c r="C504" s="5"/>
      <c r="D504" s="5"/>
      <c r="E504" s="5"/>
      <c r="F504" s="9"/>
      <c r="G504" s="9"/>
      <c r="H504" s="9"/>
      <c r="I504" s="9"/>
      <c r="J504" s="9"/>
      <c r="K504" s="9"/>
      <c r="L504" s="9"/>
      <c r="M504" s="9"/>
      <c r="N504" s="9"/>
      <c r="O504" s="9"/>
      <c r="P504" s="9"/>
      <c r="Q504" s="9"/>
      <c r="R504" s="9"/>
      <c r="S504" s="9"/>
      <c r="T504" s="9"/>
      <c r="U504" s="9"/>
      <c r="V504" s="9"/>
      <c r="W504" s="9"/>
      <c r="X504" s="9"/>
      <c r="Y504" s="9"/>
      <c r="Z504" s="9"/>
      <c r="AA504" s="9"/>
    </row>
    <row r="505" spans="1:27">
      <c r="A505" s="9"/>
      <c r="B505" s="9"/>
      <c r="C505" s="5"/>
      <c r="D505" s="5"/>
      <c r="E505" s="5"/>
      <c r="F505" s="9"/>
      <c r="G505" s="9"/>
      <c r="H505" s="9"/>
      <c r="I505" s="9"/>
      <c r="J505" s="9"/>
      <c r="K505" s="9"/>
      <c r="L505" s="9"/>
      <c r="M505" s="9"/>
      <c r="N505" s="9"/>
      <c r="O505" s="9"/>
      <c r="P505" s="9"/>
      <c r="Q505" s="9"/>
      <c r="R505" s="9"/>
      <c r="S505" s="9"/>
      <c r="T505" s="9"/>
      <c r="U505" s="9"/>
      <c r="V505" s="9"/>
      <c r="W505" s="9"/>
      <c r="X505" s="9"/>
      <c r="Y505" s="9"/>
      <c r="Z505" s="9"/>
      <c r="AA505" s="9"/>
    </row>
    <row r="506" spans="1:27">
      <c r="A506" s="9"/>
      <c r="B506" s="9"/>
      <c r="C506" s="5"/>
      <c r="D506" s="5"/>
      <c r="E506" s="5"/>
      <c r="F506" s="9"/>
      <c r="G506" s="9"/>
      <c r="H506" s="9"/>
      <c r="I506" s="9"/>
      <c r="J506" s="9"/>
      <c r="K506" s="9"/>
      <c r="L506" s="9"/>
      <c r="M506" s="9"/>
      <c r="N506" s="9"/>
      <c r="O506" s="9"/>
      <c r="P506" s="9"/>
      <c r="Q506" s="9"/>
      <c r="R506" s="9"/>
      <c r="S506" s="9"/>
      <c r="T506" s="9"/>
      <c r="U506" s="9"/>
      <c r="V506" s="9"/>
      <c r="W506" s="9"/>
      <c r="X506" s="9"/>
      <c r="Y506" s="9"/>
      <c r="Z506" s="9"/>
      <c r="AA506" s="9"/>
    </row>
    <row r="507" spans="1:27">
      <c r="A507" s="9"/>
      <c r="B507" s="9"/>
      <c r="C507" s="5"/>
      <c r="D507" s="5"/>
      <c r="E507" s="5"/>
      <c r="F507" s="9"/>
      <c r="G507" s="9"/>
      <c r="H507" s="9"/>
      <c r="I507" s="9"/>
      <c r="J507" s="9"/>
      <c r="K507" s="9"/>
      <c r="L507" s="9"/>
      <c r="M507" s="9"/>
      <c r="N507" s="9"/>
      <c r="O507" s="9"/>
      <c r="P507" s="9"/>
      <c r="Q507" s="9"/>
      <c r="R507" s="9"/>
      <c r="S507" s="9"/>
      <c r="T507" s="9"/>
      <c r="U507" s="9"/>
      <c r="V507" s="9"/>
      <c r="W507" s="9"/>
      <c r="X507" s="9"/>
      <c r="Y507" s="9"/>
      <c r="Z507" s="9"/>
      <c r="AA507" s="9"/>
    </row>
    <row r="508" spans="1:27">
      <c r="A508" s="9"/>
      <c r="B508" s="9"/>
      <c r="C508" s="5"/>
      <c r="D508" s="5"/>
      <c r="E508" s="5"/>
      <c r="F508" s="9"/>
      <c r="G508" s="9"/>
      <c r="H508" s="9"/>
      <c r="I508" s="9"/>
      <c r="J508" s="9"/>
      <c r="K508" s="9"/>
      <c r="L508" s="9"/>
      <c r="M508" s="9"/>
      <c r="N508" s="9"/>
      <c r="O508" s="9"/>
      <c r="P508" s="9"/>
      <c r="Q508" s="9"/>
      <c r="R508" s="9"/>
      <c r="S508" s="9"/>
      <c r="T508" s="9"/>
      <c r="U508" s="9"/>
      <c r="V508" s="9"/>
      <c r="W508" s="9"/>
      <c r="X508" s="9"/>
      <c r="Y508" s="9"/>
      <c r="Z508" s="9"/>
      <c r="AA508" s="9"/>
    </row>
    <row r="509" spans="1:27">
      <c r="A509" s="9"/>
      <c r="B509" s="9"/>
      <c r="C509" s="5"/>
      <c r="D509" s="5"/>
      <c r="E509" s="5"/>
      <c r="F509" s="9"/>
      <c r="G509" s="9"/>
      <c r="H509" s="9"/>
      <c r="I509" s="9"/>
      <c r="J509" s="9"/>
      <c r="K509" s="9"/>
      <c r="L509" s="9"/>
      <c r="M509" s="9"/>
      <c r="N509" s="9"/>
      <c r="O509" s="9"/>
      <c r="P509" s="9"/>
      <c r="Q509" s="9"/>
      <c r="R509" s="9"/>
      <c r="S509" s="9"/>
      <c r="T509" s="9"/>
      <c r="U509" s="9"/>
      <c r="V509" s="9"/>
      <c r="W509" s="9"/>
      <c r="X509" s="9"/>
      <c r="Y509" s="9"/>
      <c r="Z509" s="9"/>
      <c r="AA509" s="9"/>
    </row>
    <row r="510" spans="1:27">
      <c r="A510" s="9"/>
      <c r="B510" s="9"/>
      <c r="C510" s="5"/>
      <c r="D510" s="5"/>
      <c r="E510" s="5"/>
      <c r="F510" s="9"/>
      <c r="G510" s="9"/>
      <c r="H510" s="9"/>
      <c r="I510" s="9"/>
      <c r="J510" s="9"/>
      <c r="K510" s="9"/>
      <c r="L510" s="9"/>
      <c r="M510" s="9"/>
      <c r="N510" s="9"/>
      <c r="O510" s="9"/>
      <c r="P510" s="9"/>
      <c r="Q510" s="9"/>
      <c r="R510" s="9"/>
      <c r="S510" s="9"/>
      <c r="T510" s="9"/>
      <c r="U510" s="9"/>
      <c r="V510" s="9"/>
      <c r="W510" s="9"/>
      <c r="X510" s="9"/>
      <c r="Y510" s="9"/>
      <c r="Z510" s="9"/>
      <c r="AA510" s="9"/>
    </row>
    <row r="511" spans="1:27">
      <c r="A511" s="9"/>
      <c r="B511" s="9"/>
      <c r="C511" s="5"/>
      <c r="D511" s="5"/>
      <c r="E511" s="5"/>
      <c r="F511" s="9"/>
      <c r="G511" s="9"/>
      <c r="H511" s="9"/>
      <c r="I511" s="9"/>
      <c r="J511" s="9"/>
      <c r="K511" s="9"/>
      <c r="L511" s="9"/>
      <c r="M511" s="9"/>
      <c r="N511" s="9"/>
      <c r="O511" s="9"/>
      <c r="P511" s="9"/>
      <c r="Q511" s="9"/>
      <c r="R511" s="9"/>
      <c r="S511" s="9"/>
      <c r="T511" s="9"/>
      <c r="U511" s="9"/>
      <c r="V511" s="9"/>
      <c r="W511" s="9"/>
      <c r="X511" s="9"/>
      <c r="Y511" s="9"/>
      <c r="Z511" s="9"/>
      <c r="AA511" s="9"/>
    </row>
    <row r="512" spans="1:27">
      <c r="A512" s="9"/>
      <c r="B512" s="9"/>
      <c r="C512" s="5"/>
      <c r="D512" s="5"/>
      <c r="E512" s="5"/>
      <c r="F512" s="9"/>
      <c r="G512" s="9"/>
      <c r="H512" s="9"/>
      <c r="I512" s="9"/>
      <c r="J512" s="9"/>
      <c r="K512" s="9"/>
      <c r="L512" s="9"/>
      <c r="M512" s="9"/>
      <c r="N512" s="9"/>
      <c r="O512" s="9"/>
      <c r="P512" s="9"/>
      <c r="Q512" s="9"/>
      <c r="R512" s="9"/>
      <c r="S512" s="9"/>
      <c r="T512" s="9"/>
      <c r="U512" s="9"/>
      <c r="V512" s="9"/>
      <c r="W512" s="9"/>
      <c r="X512" s="9"/>
      <c r="Y512" s="9"/>
      <c r="Z512" s="9"/>
      <c r="AA512" s="9"/>
    </row>
    <row r="513" spans="1:27">
      <c r="A513" s="9"/>
      <c r="B513" s="9"/>
      <c r="C513" s="5"/>
      <c r="D513" s="5"/>
      <c r="E513" s="5"/>
      <c r="F513" s="9"/>
      <c r="G513" s="9"/>
      <c r="H513" s="9"/>
      <c r="I513" s="9"/>
      <c r="J513" s="9"/>
      <c r="K513" s="9"/>
      <c r="L513" s="9"/>
      <c r="M513" s="9"/>
      <c r="N513" s="9"/>
      <c r="O513" s="9"/>
      <c r="P513" s="9"/>
      <c r="Q513" s="9"/>
      <c r="R513" s="9"/>
      <c r="S513" s="9"/>
      <c r="T513" s="9"/>
      <c r="U513" s="9"/>
      <c r="V513" s="9"/>
      <c r="W513" s="9"/>
      <c r="X513" s="9"/>
      <c r="Y513" s="9"/>
      <c r="Z513" s="9"/>
      <c r="AA513" s="9"/>
    </row>
    <row r="514" spans="1:27">
      <c r="A514" s="9"/>
      <c r="B514" s="9"/>
      <c r="C514" s="5"/>
      <c r="D514" s="5"/>
      <c r="E514" s="5"/>
      <c r="F514" s="9"/>
      <c r="G514" s="9"/>
      <c r="H514" s="9"/>
      <c r="I514" s="9"/>
      <c r="J514" s="9"/>
      <c r="K514" s="9"/>
      <c r="L514" s="9"/>
      <c r="M514" s="9"/>
      <c r="N514" s="9"/>
      <c r="O514" s="9"/>
      <c r="P514" s="9"/>
      <c r="Q514" s="9"/>
      <c r="R514" s="9"/>
      <c r="S514" s="9"/>
      <c r="T514" s="9"/>
      <c r="U514" s="9"/>
      <c r="V514" s="9"/>
      <c r="W514" s="9"/>
      <c r="X514" s="9"/>
      <c r="Y514" s="9"/>
      <c r="Z514" s="9"/>
      <c r="AA514" s="9"/>
    </row>
    <row r="515" spans="1:27">
      <c r="A515" s="9"/>
      <c r="B515" s="9"/>
      <c r="C515" s="5"/>
      <c r="D515" s="5"/>
      <c r="E515" s="5"/>
      <c r="F515" s="9"/>
      <c r="G515" s="9"/>
      <c r="H515" s="9"/>
      <c r="I515" s="9"/>
      <c r="J515" s="9"/>
      <c r="K515" s="9"/>
      <c r="L515" s="9"/>
      <c r="M515" s="9"/>
      <c r="N515" s="9"/>
      <c r="O515" s="9"/>
      <c r="P515" s="9"/>
      <c r="Q515" s="9"/>
      <c r="R515" s="9"/>
      <c r="S515" s="9"/>
      <c r="T515" s="9"/>
      <c r="U515" s="9"/>
      <c r="V515" s="9"/>
      <c r="W515" s="9"/>
      <c r="X515" s="9"/>
      <c r="Y515" s="9"/>
      <c r="Z515" s="9"/>
      <c r="AA515" s="9"/>
    </row>
    <row r="516" spans="1:27">
      <c r="A516" s="9"/>
      <c r="B516" s="9"/>
      <c r="C516" s="5"/>
      <c r="D516" s="5"/>
      <c r="E516" s="5"/>
      <c r="F516" s="9"/>
      <c r="G516" s="9"/>
      <c r="H516" s="9"/>
      <c r="I516" s="9"/>
      <c r="J516" s="9"/>
      <c r="K516" s="9"/>
      <c r="L516" s="9"/>
      <c r="M516" s="9"/>
      <c r="N516" s="9"/>
      <c r="O516" s="9"/>
      <c r="P516" s="9"/>
      <c r="Q516" s="9"/>
      <c r="R516" s="9"/>
      <c r="S516" s="9"/>
      <c r="T516" s="9"/>
      <c r="U516" s="9"/>
      <c r="V516" s="9"/>
      <c r="W516" s="9"/>
      <c r="X516" s="9"/>
      <c r="Y516" s="9"/>
      <c r="Z516" s="9"/>
      <c r="AA516" s="9"/>
    </row>
    <row r="517" spans="1:27">
      <c r="A517" s="9"/>
      <c r="B517" s="9"/>
      <c r="C517" s="5"/>
      <c r="D517" s="5"/>
      <c r="E517" s="5"/>
      <c r="F517" s="9"/>
      <c r="G517" s="9"/>
      <c r="H517" s="9"/>
      <c r="I517" s="9"/>
      <c r="J517" s="9"/>
      <c r="K517" s="9"/>
      <c r="L517" s="9"/>
      <c r="M517" s="9"/>
      <c r="N517" s="9"/>
      <c r="O517" s="9"/>
      <c r="P517" s="9"/>
      <c r="Q517" s="9"/>
      <c r="R517" s="9"/>
      <c r="S517" s="9"/>
      <c r="T517" s="9"/>
      <c r="U517" s="9"/>
      <c r="V517" s="9"/>
      <c r="W517" s="9"/>
      <c r="X517" s="9"/>
      <c r="Y517" s="9"/>
      <c r="Z517" s="9"/>
      <c r="AA517" s="9"/>
    </row>
    <row r="518" spans="1:27">
      <c r="A518" s="9"/>
      <c r="B518" s="9"/>
      <c r="C518" s="5"/>
      <c r="D518" s="5"/>
      <c r="E518" s="5"/>
      <c r="F518" s="9"/>
      <c r="G518" s="9"/>
      <c r="H518" s="9"/>
      <c r="I518" s="9"/>
      <c r="J518" s="9"/>
      <c r="K518" s="9"/>
      <c r="L518" s="9"/>
      <c r="M518" s="9"/>
      <c r="N518" s="9"/>
      <c r="O518" s="9"/>
      <c r="P518" s="9"/>
      <c r="Q518" s="9"/>
      <c r="R518" s="9"/>
      <c r="S518" s="9"/>
      <c r="T518" s="9"/>
      <c r="U518" s="9"/>
      <c r="V518" s="9"/>
      <c r="W518" s="9"/>
      <c r="X518" s="9"/>
      <c r="Y518" s="9"/>
      <c r="Z518" s="9"/>
      <c r="AA518" s="9"/>
    </row>
    <row r="519" spans="1:27">
      <c r="A519" s="9"/>
      <c r="B519" s="9"/>
      <c r="C519" s="5"/>
      <c r="D519" s="5"/>
      <c r="E519" s="5"/>
      <c r="F519" s="9"/>
      <c r="G519" s="9"/>
      <c r="H519" s="9"/>
      <c r="I519" s="9"/>
      <c r="J519" s="9"/>
      <c r="K519" s="9"/>
      <c r="L519" s="9"/>
      <c r="M519" s="9"/>
      <c r="N519" s="9"/>
      <c r="O519" s="9"/>
      <c r="P519" s="9"/>
      <c r="Q519" s="9"/>
      <c r="R519" s="9"/>
      <c r="S519" s="9"/>
      <c r="T519" s="9"/>
      <c r="U519" s="9"/>
      <c r="V519" s="9"/>
      <c r="W519" s="9"/>
      <c r="X519" s="9"/>
      <c r="Y519" s="9"/>
      <c r="Z519" s="9"/>
      <c r="AA519" s="9"/>
    </row>
    <row r="520" spans="1:27">
      <c r="A520" s="9"/>
      <c r="B520" s="9"/>
      <c r="C520" s="5"/>
      <c r="D520" s="5"/>
      <c r="E520" s="5"/>
      <c r="F520" s="9"/>
      <c r="G520" s="9"/>
      <c r="H520" s="9"/>
      <c r="I520" s="9"/>
      <c r="J520" s="9"/>
      <c r="K520" s="9"/>
      <c r="L520" s="9"/>
      <c r="M520" s="9"/>
      <c r="N520" s="9"/>
      <c r="O520" s="9"/>
      <c r="P520" s="9"/>
      <c r="Q520" s="9"/>
      <c r="R520" s="9"/>
      <c r="S520" s="9"/>
      <c r="T520" s="9"/>
      <c r="U520" s="9"/>
      <c r="V520" s="9"/>
      <c r="W520" s="9"/>
      <c r="X520" s="9"/>
      <c r="Y520" s="9"/>
      <c r="Z520" s="9"/>
      <c r="AA520" s="9"/>
    </row>
    <row r="521" spans="1:27">
      <c r="A521" s="9"/>
      <c r="B521" s="9"/>
      <c r="C521" s="5"/>
      <c r="D521" s="5"/>
      <c r="E521" s="5"/>
      <c r="F521" s="9"/>
      <c r="G521" s="9"/>
      <c r="H521" s="9"/>
      <c r="I521" s="9"/>
      <c r="J521" s="9"/>
      <c r="K521" s="9"/>
      <c r="L521" s="9"/>
      <c r="M521" s="9"/>
      <c r="N521" s="9"/>
      <c r="O521" s="9"/>
      <c r="P521" s="9"/>
      <c r="Q521" s="9"/>
      <c r="R521" s="9"/>
      <c r="S521" s="9"/>
      <c r="T521" s="9"/>
      <c r="U521" s="9"/>
      <c r="V521" s="9"/>
      <c r="W521" s="9"/>
      <c r="X521" s="9"/>
      <c r="Y521" s="9"/>
      <c r="Z521" s="9"/>
      <c r="AA521" s="9"/>
    </row>
    <row r="522" spans="1:27">
      <c r="A522" s="9"/>
      <c r="B522" s="9"/>
      <c r="C522" s="5"/>
      <c r="D522" s="5"/>
      <c r="E522" s="5"/>
      <c r="F522" s="9"/>
      <c r="G522" s="9"/>
      <c r="H522" s="9"/>
      <c r="I522" s="9"/>
      <c r="J522" s="9"/>
      <c r="K522" s="9"/>
      <c r="L522" s="9"/>
      <c r="M522" s="9"/>
      <c r="N522" s="9"/>
      <c r="O522" s="9"/>
      <c r="P522" s="9"/>
      <c r="Q522" s="9"/>
      <c r="R522" s="9"/>
      <c r="S522" s="9"/>
      <c r="T522" s="9"/>
      <c r="U522" s="9"/>
      <c r="V522" s="9"/>
      <c r="W522" s="9"/>
      <c r="X522" s="9"/>
      <c r="Y522" s="9"/>
      <c r="Z522" s="9"/>
      <c r="AA522" s="9"/>
    </row>
    <row r="523" spans="1:27">
      <c r="A523" s="9"/>
      <c r="B523" s="9"/>
      <c r="C523" s="5"/>
      <c r="D523" s="5"/>
      <c r="E523" s="5"/>
      <c r="F523" s="9"/>
      <c r="G523" s="9"/>
      <c r="H523" s="9"/>
      <c r="I523" s="9"/>
      <c r="J523" s="9"/>
      <c r="K523" s="9"/>
      <c r="L523" s="9"/>
      <c r="M523" s="9"/>
      <c r="N523" s="9"/>
      <c r="O523" s="9"/>
      <c r="P523" s="9"/>
      <c r="Q523" s="9"/>
      <c r="R523" s="9"/>
      <c r="S523" s="9"/>
      <c r="T523" s="9"/>
      <c r="U523" s="9"/>
      <c r="V523" s="9"/>
      <c r="W523" s="9"/>
      <c r="X523" s="9"/>
      <c r="Y523" s="9"/>
      <c r="Z523" s="9"/>
      <c r="AA523" s="9"/>
    </row>
    <row r="524" spans="1:27">
      <c r="A524" s="9"/>
      <c r="B524" s="9"/>
      <c r="C524" s="5"/>
      <c r="D524" s="5"/>
      <c r="E524" s="5"/>
      <c r="F524" s="9"/>
      <c r="G524" s="9"/>
      <c r="H524" s="9"/>
      <c r="I524" s="9"/>
      <c r="J524" s="9"/>
      <c r="K524" s="9"/>
      <c r="L524" s="9"/>
      <c r="M524" s="9"/>
      <c r="N524" s="9"/>
      <c r="O524" s="9"/>
      <c r="P524" s="9"/>
      <c r="Q524" s="9"/>
      <c r="R524" s="9"/>
      <c r="S524" s="9"/>
      <c r="T524" s="9"/>
      <c r="U524" s="9"/>
      <c r="V524" s="9"/>
      <c r="W524" s="9"/>
      <c r="X524" s="9"/>
      <c r="Y524" s="9"/>
      <c r="Z524" s="9"/>
      <c r="AA524" s="9"/>
    </row>
    <row r="525" spans="1:27">
      <c r="A525" s="9"/>
      <c r="B525" s="9"/>
      <c r="C525" s="5"/>
      <c r="D525" s="5"/>
      <c r="E525" s="5"/>
      <c r="F525" s="9"/>
      <c r="G525" s="9"/>
      <c r="H525" s="9"/>
      <c r="I525" s="9"/>
      <c r="J525" s="9"/>
      <c r="K525" s="9"/>
      <c r="L525" s="9"/>
      <c r="M525" s="9"/>
      <c r="N525" s="9"/>
      <c r="O525" s="9"/>
      <c r="P525" s="9"/>
      <c r="Q525" s="9"/>
      <c r="R525" s="9"/>
      <c r="S525" s="9"/>
      <c r="T525" s="9"/>
      <c r="U525" s="9"/>
      <c r="V525" s="9"/>
      <c r="W525" s="9"/>
      <c r="X525" s="9"/>
      <c r="Y525" s="9"/>
      <c r="Z525" s="9"/>
      <c r="AA525" s="9"/>
    </row>
    <row r="526" spans="1:27">
      <c r="A526" s="9"/>
      <c r="B526" s="9"/>
      <c r="C526" s="5"/>
      <c r="D526" s="5"/>
      <c r="E526" s="5"/>
      <c r="F526" s="9"/>
      <c r="G526" s="9"/>
      <c r="H526" s="9"/>
      <c r="I526" s="9"/>
      <c r="J526" s="9"/>
      <c r="K526" s="9"/>
      <c r="L526" s="9"/>
      <c r="M526" s="9"/>
      <c r="N526" s="9"/>
      <c r="O526" s="9"/>
      <c r="P526" s="9"/>
      <c r="Q526" s="9"/>
      <c r="R526" s="9"/>
      <c r="S526" s="9"/>
      <c r="T526" s="9"/>
      <c r="U526" s="9"/>
      <c r="V526" s="9"/>
      <c r="W526" s="9"/>
      <c r="X526" s="9"/>
      <c r="Y526" s="9"/>
      <c r="Z526" s="9"/>
      <c r="AA526" s="9"/>
    </row>
    <row r="527" spans="1:27">
      <c r="A527" s="9"/>
      <c r="B527" s="9"/>
      <c r="C527" s="5"/>
      <c r="D527" s="5"/>
      <c r="E527" s="5"/>
      <c r="F527" s="9"/>
      <c r="G527" s="9"/>
      <c r="H527" s="9"/>
      <c r="I527" s="9"/>
      <c r="J527" s="9"/>
      <c r="K527" s="9"/>
      <c r="L527" s="9"/>
      <c r="M527" s="9"/>
      <c r="N527" s="9"/>
      <c r="O527" s="9"/>
      <c r="P527" s="9"/>
      <c r="Q527" s="9"/>
      <c r="R527" s="9"/>
      <c r="S527" s="9"/>
      <c r="T527" s="9"/>
      <c r="U527" s="9"/>
      <c r="V527" s="9"/>
      <c r="W527" s="9"/>
      <c r="X527" s="9"/>
      <c r="Y527" s="9"/>
      <c r="Z527" s="9"/>
      <c r="AA527" s="9"/>
    </row>
    <row r="528" spans="1:27">
      <c r="A528" s="9"/>
      <c r="B528" s="9"/>
      <c r="C528" s="5"/>
      <c r="D528" s="5"/>
      <c r="E528" s="5"/>
      <c r="F528" s="9"/>
      <c r="G528" s="9"/>
      <c r="H528" s="9"/>
      <c r="I528" s="9"/>
      <c r="J528" s="9"/>
      <c r="K528" s="9"/>
      <c r="L528" s="9"/>
      <c r="M528" s="9"/>
      <c r="N528" s="9"/>
      <c r="O528" s="9"/>
      <c r="P528" s="9"/>
      <c r="Q528" s="9"/>
      <c r="R528" s="9"/>
      <c r="S528" s="9"/>
      <c r="T528" s="9"/>
      <c r="U528" s="9"/>
      <c r="V528" s="9"/>
      <c r="W528" s="9"/>
      <c r="X528" s="9"/>
      <c r="Y528" s="9"/>
      <c r="Z528" s="9"/>
      <c r="AA528" s="9"/>
    </row>
    <row r="529" spans="1:27">
      <c r="A529" s="9"/>
      <c r="B529" s="9"/>
      <c r="C529" s="5"/>
      <c r="D529" s="5"/>
      <c r="E529" s="5"/>
      <c r="F529" s="9"/>
      <c r="G529" s="9"/>
      <c r="H529" s="9"/>
      <c r="I529" s="9"/>
      <c r="J529" s="9"/>
      <c r="K529" s="9"/>
      <c r="L529" s="9"/>
      <c r="M529" s="9"/>
      <c r="N529" s="9"/>
      <c r="O529" s="9"/>
      <c r="P529" s="9"/>
      <c r="Q529" s="9"/>
      <c r="R529" s="9"/>
      <c r="S529" s="9"/>
      <c r="T529" s="9"/>
      <c r="U529" s="9"/>
      <c r="V529" s="9"/>
      <c r="W529" s="9"/>
      <c r="X529" s="9"/>
      <c r="Y529" s="9"/>
      <c r="Z529" s="9"/>
      <c r="AA529" s="9"/>
    </row>
    <row r="530" spans="1:27">
      <c r="A530" s="9"/>
      <c r="B530" s="9"/>
      <c r="C530" s="5"/>
      <c r="D530" s="5"/>
      <c r="E530" s="5"/>
      <c r="F530" s="9"/>
      <c r="G530" s="9"/>
      <c r="H530" s="9"/>
      <c r="I530" s="9"/>
      <c r="J530" s="9"/>
      <c r="K530" s="9"/>
      <c r="L530" s="9"/>
      <c r="M530" s="9"/>
      <c r="N530" s="9"/>
      <c r="O530" s="9"/>
      <c r="P530" s="9"/>
      <c r="Q530" s="9"/>
      <c r="R530" s="9"/>
      <c r="S530" s="9"/>
      <c r="T530" s="9"/>
      <c r="U530" s="9"/>
      <c r="V530" s="9"/>
      <c r="W530" s="9"/>
      <c r="X530" s="9"/>
      <c r="Y530" s="9"/>
      <c r="Z530" s="9"/>
      <c r="AA530" s="9"/>
    </row>
    <row r="531" spans="1:27">
      <c r="A531" s="9"/>
      <c r="B531" s="9"/>
      <c r="C531" s="5"/>
      <c r="D531" s="5"/>
      <c r="E531" s="5"/>
      <c r="F531" s="9"/>
      <c r="G531" s="9"/>
      <c r="H531" s="9"/>
      <c r="I531" s="9"/>
      <c r="J531" s="9"/>
      <c r="K531" s="9"/>
      <c r="L531" s="9"/>
      <c r="M531" s="9"/>
      <c r="N531" s="9"/>
      <c r="O531" s="9"/>
      <c r="P531" s="9"/>
      <c r="Q531" s="9"/>
      <c r="R531" s="9"/>
      <c r="S531" s="9"/>
      <c r="T531" s="9"/>
      <c r="U531" s="9"/>
      <c r="V531" s="9"/>
      <c r="W531" s="9"/>
      <c r="X531" s="9"/>
      <c r="Y531" s="9"/>
      <c r="Z531" s="9"/>
      <c r="AA531" s="9"/>
    </row>
    <row r="532" spans="1:27">
      <c r="A532" s="9"/>
      <c r="B532" s="9"/>
      <c r="C532" s="5"/>
      <c r="D532" s="5"/>
      <c r="E532" s="5"/>
      <c r="F532" s="9"/>
      <c r="G532" s="9"/>
      <c r="H532" s="9"/>
      <c r="I532" s="9"/>
      <c r="J532" s="9"/>
      <c r="K532" s="9"/>
      <c r="L532" s="9"/>
      <c r="M532" s="9"/>
      <c r="N532" s="9"/>
      <c r="O532" s="9"/>
      <c r="P532" s="9"/>
      <c r="Q532" s="9"/>
      <c r="R532" s="9"/>
      <c r="S532" s="9"/>
      <c r="T532" s="9"/>
      <c r="U532" s="9"/>
      <c r="V532" s="9"/>
      <c r="W532" s="9"/>
      <c r="X532" s="9"/>
      <c r="Y532" s="9"/>
      <c r="Z532" s="9"/>
      <c r="AA532" s="9"/>
    </row>
    <row r="533" spans="1:27">
      <c r="A533" s="9"/>
      <c r="B533" s="9"/>
      <c r="C533" s="5"/>
      <c r="D533" s="5"/>
      <c r="E533" s="5"/>
      <c r="F533" s="9"/>
      <c r="G533" s="9"/>
      <c r="H533" s="9"/>
      <c r="I533" s="9"/>
      <c r="J533" s="9"/>
      <c r="K533" s="9"/>
      <c r="L533" s="9"/>
      <c r="M533" s="9"/>
      <c r="N533" s="9"/>
      <c r="O533" s="9"/>
      <c r="P533" s="9"/>
      <c r="Q533" s="9"/>
      <c r="R533" s="9"/>
      <c r="S533" s="9"/>
      <c r="T533" s="9"/>
      <c r="U533" s="9"/>
      <c r="V533" s="9"/>
      <c r="W533" s="9"/>
      <c r="X533" s="9"/>
      <c r="Y533" s="9"/>
      <c r="Z533" s="9"/>
      <c r="AA533" s="9"/>
    </row>
    <row r="534" spans="1:27">
      <c r="A534" s="9"/>
      <c r="B534" s="9"/>
      <c r="C534" s="5"/>
      <c r="D534" s="5"/>
      <c r="E534" s="5"/>
      <c r="F534" s="9"/>
      <c r="G534" s="9"/>
      <c r="H534" s="9"/>
      <c r="I534" s="9"/>
      <c r="J534" s="9"/>
      <c r="K534" s="9"/>
      <c r="L534" s="9"/>
      <c r="M534" s="9"/>
      <c r="N534" s="9"/>
      <c r="O534" s="9"/>
      <c r="P534" s="9"/>
      <c r="Q534" s="9"/>
      <c r="R534" s="9"/>
      <c r="S534" s="9"/>
      <c r="T534" s="9"/>
      <c r="U534" s="9"/>
      <c r="V534" s="9"/>
      <c r="W534" s="9"/>
      <c r="X534" s="9"/>
      <c r="Y534" s="9"/>
      <c r="Z534" s="9"/>
      <c r="AA534" s="9"/>
    </row>
    <row r="535" spans="1:27">
      <c r="A535" s="9"/>
      <c r="B535" s="9"/>
      <c r="C535" s="5"/>
      <c r="D535" s="5"/>
      <c r="E535" s="5"/>
      <c r="F535" s="9"/>
      <c r="G535" s="9"/>
      <c r="H535" s="9"/>
      <c r="I535" s="9"/>
      <c r="J535" s="9"/>
      <c r="K535" s="9"/>
      <c r="L535" s="9"/>
      <c r="M535" s="9"/>
      <c r="N535" s="9"/>
      <c r="O535" s="9"/>
      <c r="P535" s="9"/>
      <c r="Q535" s="9"/>
      <c r="R535" s="9"/>
      <c r="S535" s="9"/>
      <c r="T535" s="9"/>
      <c r="U535" s="9"/>
      <c r="V535" s="9"/>
      <c r="W535" s="9"/>
      <c r="X535" s="9"/>
      <c r="Y535" s="9"/>
      <c r="Z535" s="9"/>
      <c r="AA535" s="9"/>
    </row>
    <row r="536" spans="1:27">
      <c r="A536" s="9"/>
      <c r="B536" s="9"/>
      <c r="C536" s="5"/>
      <c r="D536" s="5"/>
      <c r="E536" s="5"/>
      <c r="F536" s="9"/>
      <c r="G536" s="9"/>
      <c r="H536" s="9"/>
      <c r="I536" s="9"/>
      <c r="J536" s="9"/>
      <c r="K536" s="9"/>
      <c r="L536" s="9"/>
      <c r="M536" s="9"/>
      <c r="N536" s="9"/>
      <c r="O536" s="9"/>
      <c r="P536" s="9"/>
      <c r="Q536" s="9"/>
      <c r="R536" s="9"/>
      <c r="S536" s="9"/>
      <c r="T536" s="9"/>
      <c r="U536" s="9"/>
      <c r="V536" s="9"/>
      <c r="W536" s="9"/>
      <c r="X536" s="9"/>
      <c r="Y536" s="9"/>
      <c r="Z536" s="9"/>
      <c r="AA536" s="9"/>
    </row>
    <row r="537" spans="1:27">
      <c r="A537" s="9"/>
      <c r="B537" s="9"/>
      <c r="C537" s="5"/>
      <c r="D537" s="5"/>
      <c r="E537" s="5"/>
      <c r="F537" s="9"/>
      <c r="G537" s="9"/>
      <c r="H537" s="9"/>
      <c r="I537" s="9"/>
      <c r="J537" s="9"/>
      <c r="K537" s="9"/>
      <c r="L537" s="9"/>
      <c r="M537" s="9"/>
      <c r="N537" s="9"/>
      <c r="O537" s="9"/>
      <c r="P537" s="9"/>
      <c r="Q537" s="9"/>
      <c r="R537" s="9"/>
      <c r="S537" s="9"/>
      <c r="T537" s="9"/>
      <c r="U537" s="9"/>
      <c r="V537" s="9"/>
      <c r="W537" s="9"/>
      <c r="X537" s="9"/>
      <c r="Y537" s="9"/>
      <c r="Z537" s="9"/>
      <c r="AA537" s="9"/>
    </row>
    <row r="538" spans="1:27">
      <c r="A538" s="9"/>
      <c r="B538" s="9"/>
      <c r="C538" s="5"/>
      <c r="D538" s="5"/>
      <c r="E538" s="5"/>
      <c r="F538" s="9"/>
      <c r="G538" s="9"/>
      <c r="H538" s="9"/>
      <c r="I538" s="9"/>
      <c r="J538" s="9"/>
      <c r="K538" s="9"/>
      <c r="L538" s="9"/>
      <c r="M538" s="9"/>
      <c r="N538" s="9"/>
      <c r="O538" s="9"/>
      <c r="P538" s="9"/>
      <c r="Q538" s="9"/>
      <c r="R538" s="9"/>
      <c r="S538" s="9"/>
      <c r="T538" s="9"/>
      <c r="U538" s="9"/>
      <c r="V538" s="9"/>
      <c r="W538" s="9"/>
      <c r="X538" s="9"/>
      <c r="Y538" s="9"/>
      <c r="Z538" s="9"/>
      <c r="AA538" s="9"/>
    </row>
    <row r="539" spans="1:27">
      <c r="A539" s="9"/>
      <c r="B539" s="9"/>
      <c r="C539" s="5"/>
      <c r="D539" s="5"/>
      <c r="E539" s="5"/>
      <c r="F539" s="9"/>
      <c r="G539" s="9"/>
      <c r="H539" s="9"/>
      <c r="I539" s="9"/>
      <c r="J539" s="9"/>
      <c r="K539" s="9"/>
      <c r="L539" s="9"/>
      <c r="M539" s="9"/>
      <c r="N539" s="9"/>
      <c r="O539" s="9"/>
      <c r="P539" s="9"/>
      <c r="Q539" s="9"/>
      <c r="R539" s="9"/>
      <c r="S539" s="9"/>
      <c r="T539" s="9"/>
      <c r="U539" s="9"/>
      <c r="V539" s="9"/>
      <c r="W539" s="9"/>
      <c r="X539" s="9"/>
      <c r="Y539" s="9"/>
      <c r="Z539" s="9"/>
      <c r="AA539" s="9"/>
    </row>
    <row r="540" spans="1:27">
      <c r="A540" s="9"/>
      <c r="B540" s="9"/>
      <c r="C540" s="5"/>
      <c r="D540" s="5"/>
      <c r="E540" s="5"/>
      <c r="F540" s="9"/>
      <c r="G540" s="9"/>
      <c r="H540" s="9"/>
      <c r="I540" s="9"/>
      <c r="J540" s="9"/>
      <c r="K540" s="9"/>
      <c r="L540" s="9"/>
      <c r="M540" s="9"/>
      <c r="N540" s="9"/>
      <c r="O540" s="9"/>
      <c r="P540" s="9"/>
      <c r="Q540" s="9"/>
      <c r="R540" s="9"/>
      <c r="S540" s="9"/>
      <c r="T540" s="9"/>
      <c r="U540" s="9"/>
      <c r="V540" s="9"/>
      <c r="W540" s="9"/>
      <c r="X540" s="9"/>
      <c r="Y540" s="9"/>
      <c r="Z540" s="9"/>
      <c r="AA540" s="9"/>
    </row>
    <row r="541" spans="1:27">
      <c r="A541" s="9"/>
      <c r="B541" s="9"/>
      <c r="C541" s="5"/>
      <c r="D541" s="5"/>
      <c r="E541" s="5"/>
      <c r="F541" s="9"/>
      <c r="G541" s="9"/>
      <c r="H541" s="9"/>
      <c r="I541" s="9"/>
      <c r="J541" s="9"/>
      <c r="K541" s="9"/>
      <c r="L541" s="9"/>
      <c r="M541" s="9"/>
      <c r="N541" s="9"/>
      <c r="O541" s="9"/>
      <c r="P541" s="9"/>
      <c r="Q541" s="9"/>
      <c r="R541" s="9"/>
      <c r="S541" s="9"/>
      <c r="T541" s="9"/>
      <c r="U541" s="9"/>
      <c r="V541" s="9"/>
      <c r="W541" s="9"/>
      <c r="X541" s="9"/>
      <c r="Y541" s="9"/>
      <c r="Z541" s="9"/>
      <c r="AA541" s="9"/>
    </row>
    <row r="542" spans="1:27">
      <c r="A542" s="9"/>
      <c r="B542" s="9"/>
      <c r="C542" s="5"/>
      <c r="D542" s="5"/>
      <c r="E542" s="5"/>
      <c r="F542" s="9"/>
      <c r="G542" s="9"/>
      <c r="H542" s="9"/>
      <c r="I542" s="9"/>
      <c r="J542" s="9"/>
      <c r="K542" s="9"/>
      <c r="L542" s="9"/>
      <c r="M542" s="9"/>
      <c r="N542" s="9"/>
      <c r="O542" s="9"/>
      <c r="P542" s="9"/>
      <c r="Q542" s="9"/>
      <c r="R542" s="9"/>
      <c r="S542" s="9"/>
      <c r="T542" s="9"/>
      <c r="U542" s="9"/>
      <c r="V542" s="9"/>
      <c r="W542" s="9"/>
      <c r="X542" s="9"/>
      <c r="Y542" s="9"/>
      <c r="Z542" s="9"/>
      <c r="AA542" s="9"/>
    </row>
    <row r="543" spans="1:27">
      <c r="A543" s="9"/>
      <c r="B543" s="9"/>
      <c r="C543" s="5"/>
      <c r="D543" s="5"/>
      <c r="E543" s="5"/>
      <c r="F543" s="9"/>
      <c r="G543" s="9"/>
      <c r="H543" s="9"/>
      <c r="I543" s="9"/>
      <c r="J543" s="9"/>
      <c r="K543" s="9"/>
      <c r="L543" s="9"/>
      <c r="M543" s="9"/>
      <c r="N543" s="9"/>
      <c r="O543" s="9"/>
      <c r="P543" s="9"/>
      <c r="Q543" s="9"/>
      <c r="R543" s="9"/>
      <c r="S543" s="9"/>
      <c r="T543" s="9"/>
      <c r="U543" s="9"/>
      <c r="V543" s="9"/>
      <c r="W543" s="9"/>
      <c r="X543" s="9"/>
      <c r="Y543" s="9"/>
      <c r="Z543" s="9"/>
      <c r="AA543" s="9"/>
    </row>
    <row r="544" spans="1:27">
      <c r="A544" s="9"/>
      <c r="B544" s="9"/>
      <c r="C544" s="5"/>
      <c r="D544" s="5"/>
      <c r="E544" s="5"/>
      <c r="F544" s="9"/>
      <c r="G544" s="9"/>
      <c r="H544" s="9"/>
      <c r="I544" s="9"/>
      <c r="J544" s="9"/>
      <c r="K544" s="9"/>
      <c r="L544" s="9"/>
      <c r="M544" s="9"/>
      <c r="N544" s="9"/>
      <c r="O544" s="9"/>
      <c r="P544" s="9"/>
      <c r="Q544" s="9"/>
      <c r="R544" s="9"/>
      <c r="S544" s="9"/>
      <c r="T544" s="9"/>
      <c r="U544" s="9"/>
      <c r="V544" s="9"/>
      <c r="W544" s="9"/>
      <c r="X544" s="9"/>
      <c r="Y544" s="9"/>
      <c r="Z544" s="9"/>
      <c r="AA544" s="9"/>
    </row>
    <row r="545" spans="1:27">
      <c r="A545" s="9"/>
      <c r="B545" s="9"/>
      <c r="C545" s="5"/>
      <c r="D545" s="5"/>
      <c r="E545" s="5"/>
      <c r="F545" s="9"/>
      <c r="G545" s="9"/>
      <c r="H545" s="9"/>
      <c r="I545" s="9"/>
      <c r="J545" s="9"/>
      <c r="K545" s="9"/>
      <c r="L545" s="9"/>
      <c r="M545" s="9"/>
      <c r="N545" s="9"/>
      <c r="O545" s="9"/>
      <c r="P545" s="9"/>
      <c r="Q545" s="9"/>
      <c r="R545" s="9"/>
      <c r="S545" s="9"/>
      <c r="T545" s="9"/>
      <c r="U545" s="9"/>
      <c r="V545" s="9"/>
      <c r="W545" s="9"/>
      <c r="X545" s="9"/>
      <c r="Y545" s="9"/>
      <c r="Z545" s="9"/>
      <c r="AA545" s="9"/>
    </row>
    <row r="546" spans="1:27">
      <c r="A546" s="9"/>
      <c r="B546" s="9"/>
      <c r="C546" s="5"/>
      <c r="D546" s="5"/>
      <c r="E546" s="5"/>
      <c r="F546" s="9"/>
      <c r="G546" s="9"/>
      <c r="H546" s="9"/>
      <c r="I546" s="9"/>
      <c r="J546" s="9"/>
      <c r="K546" s="9"/>
      <c r="L546" s="9"/>
      <c r="M546" s="9"/>
      <c r="N546" s="9"/>
      <c r="O546" s="9"/>
      <c r="P546" s="9"/>
      <c r="Q546" s="9"/>
      <c r="R546" s="9"/>
      <c r="S546" s="9"/>
      <c r="T546" s="9"/>
      <c r="U546" s="9"/>
      <c r="V546" s="9"/>
      <c r="W546" s="9"/>
      <c r="X546" s="9"/>
      <c r="Y546" s="9"/>
      <c r="Z546" s="9"/>
      <c r="AA546" s="9"/>
    </row>
    <row r="547" spans="1:27">
      <c r="A547" s="9"/>
      <c r="B547" s="9"/>
      <c r="C547" s="5"/>
      <c r="D547" s="5"/>
      <c r="E547" s="5"/>
      <c r="F547" s="9"/>
      <c r="G547" s="9"/>
      <c r="H547" s="9"/>
      <c r="I547" s="9"/>
      <c r="J547" s="9"/>
      <c r="K547" s="9"/>
      <c r="L547" s="9"/>
      <c r="M547" s="9"/>
      <c r="N547" s="9"/>
      <c r="O547" s="9"/>
      <c r="P547" s="9"/>
      <c r="Q547" s="9"/>
      <c r="R547" s="9"/>
      <c r="S547" s="9"/>
      <c r="T547" s="9"/>
      <c r="U547" s="9"/>
      <c r="V547" s="9"/>
      <c r="W547" s="9"/>
      <c r="X547" s="9"/>
      <c r="Y547" s="9"/>
      <c r="Z547" s="9"/>
      <c r="AA547" s="9"/>
    </row>
    <row r="548" spans="1:27">
      <c r="A548" s="9"/>
      <c r="B548" s="9"/>
      <c r="C548" s="5"/>
      <c r="D548" s="5"/>
      <c r="E548" s="5"/>
      <c r="F548" s="9"/>
      <c r="G548" s="9"/>
      <c r="H548" s="9"/>
      <c r="I548" s="9"/>
      <c r="J548" s="9"/>
      <c r="K548" s="9"/>
      <c r="L548" s="9"/>
      <c r="M548" s="9"/>
      <c r="N548" s="9"/>
      <c r="O548" s="9"/>
      <c r="P548" s="9"/>
      <c r="Q548" s="9"/>
      <c r="R548" s="9"/>
      <c r="S548" s="9"/>
      <c r="T548" s="9"/>
      <c r="U548" s="9"/>
      <c r="V548" s="9"/>
      <c r="W548" s="9"/>
      <c r="X548" s="9"/>
      <c r="Y548" s="9"/>
      <c r="Z548" s="9"/>
      <c r="AA548" s="9"/>
    </row>
    <row r="549" spans="1:27">
      <c r="A549" s="9"/>
      <c r="B549" s="9"/>
      <c r="C549" s="5"/>
      <c r="D549" s="5"/>
      <c r="E549" s="5"/>
      <c r="F549" s="9"/>
      <c r="G549" s="9"/>
      <c r="H549" s="9"/>
      <c r="I549" s="9"/>
      <c r="J549" s="9"/>
      <c r="K549" s="9"/>
      <c r="L549" s="9"/>
      <c r="M549" s="9"/>
      <c r="N549" s="9"/>
      <c r="O549" s="9"/>
      <c r="P549" s="9"/>
      <c r="Q549" s="9"/>
      <c r="R549" s="9"/>
      <c r="S549" s="9"/>
      <c r="T549" s="9"/>
      <c r="U549" s="9"/>
      <c r="V549" s="9"/>
      <c r="W549" s="9"/>
      <c r="X549" s="9"/>
      <c r="Y549" s="9"/>
      <c r="Z549" s="9"/>
      <c r="AA549" s="9"/>
    </row>
    <row r="550" spans="1:27">
      <c r="A550" s="9"/>
      <c r="B550" s="9"/>
      <c r="C550" s="5"/>
      <c r="D550" s="5"/>
      <c r="E550" s="5"/>
      <c r="F550" s="9"/>
      <c r="G550" s="9"/>
      <c r="H550" s="9"/>
      <c r="I550" s="9"/>
      <c r="J550" s="9"/>
      <c r="K550" s="9"/>
      <c r="L550" s="9"/>
      <c r="M550" s="9"/>
      <c r="N550" s="9"/>
      <c r="O550" s="9"/>
      <c r="P550" s="9"/>
      <c r="Q550" s="9"/>
      <c r="R550" s="9"/>
      <c r="S550" s="9"/>
      <c r="T550" s="9"/>
      <c r="U550" s="9"/>
      <c r="V550" s="9"/>
      <c r="W550" s="9"/>
      <c r="X550" s="9"/>
      <c r="Y550" s="9"/>
      <c r="Z550" s="9"/>
      <c r="AA550" s="9"/>
    </row>
    <row r="551" spans="1:27">
      <c r="A551" s="9"/>
      <c r="B551" s="9"/>
      <c r="C551" s="5"/>
      <c r="D551" s="5"/>
      <c r="E551" s="5"/>
      <c r="F551" s="9"/>
      <c r="G551" s="9"/>
      <c r="H551" s="9"/>
      <c r="I551" s="9"/>
      <c r="J551" s="9"/>
      <c r="K551" s="9"/>
      <c r="L551" s="9"/>
      <c r="M551" s="9"/>
      <c r="N551" s="9"/>
      <c r="O551" s="9"/>
      <c r="P551" s="9"/>
      <c r="Q551" s="9"/>
      <c r="R551" s="9"/>
      <c r="S551" s="9"/>
      <c r="T551" s="9"/>
      <c r="U551" s="9"/>
      <c r="V551" s="9"/>
      <c r="W551" s="9"/>
      <c r="X551" s="9"/>
      <c r="Y551" s="9"/>
      <c r="Z551" s="9"/>
      <c r="AA551" s="9"/>
    </row>
    <row r="552" spans="1:27">
      <c r="A552" s="9"/>
      <c r="B552" s="9"/>
      <c r="C552" s="5"/>
      <c r="D552" s="5"/>
      <c r="E552" s="5"/>
      <c r="F552" s="9"/>
      <c r="G552" s="9"/>
      <c r="H552" s="9"/>
      <c r="I552" s="9"/>
      <c r="J552" s="9"/>
      <c r="K552" s="9"/>
      <c r="L552" s="9"/>
      <c r="M552" s="9"/>
      <c r="N552" s="9"/>
      <c r="O552" s="9"/>
      <c r="P552" s="9"/>
      <c r="Q552" s="9"/>
      <c r="R552" s="9"/>
      <c r="S552" s="9"/>
      <c r="T552" s="9"/>
      <c r="U552" s="9"/>
      <c r="V552" s="9"/>
      <c r="W552" s="9"/>
      <c r="X552" s="9"/>
      <c r="Y552" s="9"/>
      <c r="Z552" s="9"/>
      <c r="AA552" s="9"/>
    </row>
    <row r="553" spans="1:27">
      <c r="A553" s="9"/>
      <c r="B553" s="9"/>
      <c r="C553" s="5"/>
      <c r="D553" s="5"/>
      <c r="E553" s="5"/>
      <c r="F553" s="9"/>
      <c r="G553" s="9"/>
      <c r="H553" s="9"/>
      <c r="I553" s="9"/>
      <c r="J553" s="9"/>
      <c r="K553" s="9"/>
      <c r="L553" s="9"/>
      <c r="M553" s="9"/>
      <c r="N553" s="9"/>
      <c r="O553" s="9"/>
      <c r="P553" s="9"/>
      <c r="Q553" s="9"/>
      <c r="R553" s="9"/>
      <c r="S553" s="9"/>
      <c r="T553" s="9"/>
      <c r="U553" s="9"/>
      <c r="V553" s="9"/>
      <c r="W553" s="9"/>
      <c r="X553" s="9"/>
      <c r="Y553" s="9"/>
      <c r="Z553" s="9"/>
      <c r="AA553" s="9"/>
    </row>
    <row r="554" spans="1:27">
      <c r="A554" s="9"/>
      <c r="B554" s="9"/>
      <c r="C554" s="5"/>
      <c r="D554" s="5"/>
      <c r="E554" s="5"/>
      <c r="F554" s="9"/>
      <c r="G554" s="9"/>
      <c r="H554" s="9"/>
      <c r="I554" s="9"/>
      <c r="J554" s="9"/>
      <c r="K554" s="9"/>
      <c r="L554" s="9"/>
      <c r="M554" s="9"/>
      <c r="N554" s="9"/>
      <c r="O554" s="9"/>
      <c r="P554" s="9"/>
      <c r="Q554" s="9"/>
      <c r="R554" s="9"/>
      <c r="S554" s="9"/>
      <c r="T554" s="9"/>
      <c r="U554" s="9"/>
      <c r="V554" s="9"/>
      <c r="W554" s="9"/>
      <c r="X554" s="9"/>
      <c r="Y554" s="9"/>
      <c r="Z554" s="9"/>
      <c r="AA554" s="9"/>
    </row>
    <row r="555" spans="1:27">
      <c r="A555" s="9"/>
      <c r="B555" s="9"/>
      <c r="C555" s="5"/>
      <c r="D555" s="5"/>
      <c r="E555" s="5"/>
      <c r="F555" s="9"/>
      <c r="G555" s="9"/>
      <c r="H555" s="9"/>
      <c r="I555" s="9"/>
      <c r="J555" s="9"/>
      <c r="K555" s="9"/>
      <c r="L555" s="9"/>
      <c r="M555" s="9"/>
      <c r="N555" s="9"/>
      <c r="O555" s="9"/>
      <c r="P555" s="9"/>
      <c r="Q555" s="9"/>
      <c r="R555" s="9"/>
      <c r="S555" s="9"/>
      <c r="T555" s="9"/>
      <c r="U555" s="9"/>
      <c r="V555" s="9"/>
      <c r="W555" s="9"/>
      <c r="X555" s="9"/>
      <c r="Y555" s="9"/>
      <c r="Z555" s="9"/>
      <c r="AA555" s="9"/>
    </row>
    <row r="556" spans="1:27">
      <c r="A556" s="9"/>
      <c r="B556" s="9"/>
      <c r="C556" s="5"/>
      <c r="D556" s="5"/>
      <c r="E556" s="5"/>
      <c r="F556" s="9"/>
      <c r="G556" s="9"/>
      <c r="H556" s="9"/>
      <c r="I556" s="9"/>
      <c r="J556" s="9"/>
      <c r="K556" s="9"/>
      <c r="L556" s="9"/>
      <c r="M556" s="9"/>
      <c r="N556" s="9"/>
      <c r="O556" s="9"/>
      <c r="P556" s="9"/>
      <c r="Q556" s="9"/>
      <c r="R556" s="9"/>
      <c r="S556" s="9"/>
      <c r="T556" s="9"/>
      <c r="U556" s="9"/>
      <c r="V556" s="9"/>
      <c r="W556" s="9"/>
      <c r="X556" s="9"/>
      <c r="Y556" s="9"/>
      <c r="Z556" s="9"/>
      <c r="AA556" s="9"/>
    </row>
    <row r="557" spans="1:27">
      <c r="A557" s="9"/>
      <c r="B557" s="9"/>
      <c r="C557" s="5"/>
      <c r="D557" s="5"/>
      <c r="E557" s="5"/>
      <c r="F557" s="9"/>
      <c r="G557" s="9"/>
      <c r="H557" s="9"/>
      <c r="I557" s="9"/>
      <c r="J557" s="9"/>
      <c r="K557" s="9"/>
      <c r="L557" s="9"/>
      <c r="M557" s="9"/>
      <c r="N557" s="9"/>
      <c r="O557" s="9"/>
      <c r="P557" s="9"/>
      <c r="Q557" s="9"/>
      <c r="R557" s="9"/>
      <c r="S557" s="9"/>
      <c r="T557" s="9"/>
      <c r="U557" s="9"/>
      <c r="V557" s="9"/>
      <c r="W557" s="9"/>
      <c r="X557" s="9"/>
      <c r="Y557" s="9"/>
      <c r="Z557" s="9"/>
      <c r="AA557" s="9"/>
    </row>
    <row r="558" spans="1:27">
      <c r="A558" s="9"/>
      <c r="B558" s="9"/>
      <c r="C558" s="5"/>
      <c r="D558" s="5"/>
      <c r="E558" s="5"/>
      <c r="F558" s="9"/>
      <c r="G558" s="9"/>
      <c r="H558" s="9"/>
      <c r="I558" s="9"/>
      <c r="J558" s="9"/>
      <c r="K558" s="9"/>
      <c r="L558" s="9"/>
      <c r="M558" s="9"/>
      <c r="N558" s="9"/>
      <c r="O558" s="9"/>
      <c r="P558" s="9"/>
      <c r="Q558" s="9"/>
      <c r="R558" s="9"/>
      <c r="S558" s="9"/>
      <c r="T558" s="9"/>
      <c r="U558" s="9"/>
      <c r="V558" s="9"/>
      <c r="W558" s="9"/>
      <c r="X558" s="9"/>
      <c r="Y558" s="9"/>
      <c r="Z558" s="9"/>
      <c r="AA558" s="9"/>
    </row>
    <row r="559" spans="1:27">
      <c r="A559" s="9"/>
      <c r="B559" s="9"/>
      <c r="C559" s="5"/>
      <c r="D559" s="5"/>
      <c r="E559" s="5"/>
      <c r="F559" s="9"/>
      <c r="G559" s="9"/>
      <c r="H559" s="9"/>
      <c r="I559" s="9"/>
      <c r="J559" s="9"/>
      <c r="K559" s="9"/>
      <c r="L559" s="9"/>
      <c r="M559" s="9"/>
      <c r="N559" s="9"/>
      <c r="O559" s="9"/>
      <c r="P559" s="9"/>
      <c r="Q559" s="9"/>
      <c r="R559" s="9"/>
      <c r="S559" s="9"/>
      <c r="T559" s="9"/>
      <c r="U559" s="9"/>
      <c r="V559" s="9"/>
      <c r="W559" s="9"/>
      <c r="X559" s="9"/>
      <c r="Y559" s="9"/>
      <c r="Z559" s="9"/>
      <c r="AA559" s="9"/>
    </row>
    <row r="560" spans="1:27">
      <c r="A560" s="9"/>
      <c r="B560" s="9"/>
      <c r="C560" s="5"/>
      <c r="D560" s="5"/>
      <c r="E560" s="5"/>
      <c r="F560" s="9"/>
      <c r="G560" s="9"/>
      <c r="H560" s="9"/>
      <c r="I560" s="9"/>
      <c r="J560" s="9"/>
      <c r="K560" s="9"/>
      <c r="L560" s="9"/>
      <c r="M560" s="9"/>
      <c r="N560" s="9"/>
      <c r="O560" s="9"/>
      <c r="P560" s="9"/>
      <c r="Q560" s="9"/>
      <c r="R560" s="9"/>
      <c r="S560" s="9"/>
      <c r="T560" s="9"/>
      <c r="U560" s="9"/>
      <c r="V560" s="9"/>
      <c r="W560" s="9"/>
      <c r="X560" s="9"/>
      <c r="Y560" s="9"/>
      <c r="Z560" s="9"/>
      <c r="AA560" s="9"/>
    </row>
    <row r="561" spans="1:27">
      <c r="A561" s="9"/>
      <c r="B561" s="9"/>
      <c r="C561" s="5"/>
      <c r="D561" s="5"/>
      <c r="E561" s="5"/>
      <c r="F561" s="9"/>
      <c r="G561" s="9"/>
      <c r="H561" s="9"/>
      <c r="I561" s="9"/>
      <c r="J561" s="9"/>
      <c r="K561" s="9"/>
      <c r="L561" s="9"/>
      <c r="M561" s="9"/>
      <c r="N561" s="9"/>
      <c r="O561" s="9"/>
      <c r="P561" s="9"/>
      <c r="Q561" s="9"/>
      <c r="R561" s="9"/>
      <c r="S561" s="9"/>
      <c r="T561" s="9"/>
      <c r="U561" s="9"/>
      <c r="V561" s="9"/>
      <c r="W561" s="9"/>
      <c r="X561" s="9"/>
      <c r="Y561" s="9"/>
      <c r="Z561" s="9"/>
      <c r="AA561" s="9"/>
    </row>
    <row r="562" spans="1:27">
      <c r="A562" s="9"/>
      <c r="B562" s="9"/>
      <c r="C562" s="5"/>
      <c r="D562" s="5"/>
      <c r="E562" s="5"/>
      <c r="F562" s="9"/>
      <c r="G562" s="9"/>
      <c r="H562" s="9"/>
      <c r="I562" s="9"/>
      <c r="J562" s="9"/>
      <c r="K562" s="9"/>
      <c r="L562" s="9"/>
      <c r="M562" s="9"/>
      <c r="N562" s="9"/>
      <c r="O562" s="9"/>
      <c r="P562" s="9"/>
      <c r="Q562" s="9"/>
      <c r="R562" s="9"/>
      <c r="S562" s="9"/>
      <c r="T562" s="9"/>
      <c r="U562" s="9"/>
      <c r="V562" s="9"/>
      <c r="W562" s="9"/>
      <c r="X562" s="9"/>
      <c r="Y562" s="9"/>
      <c r="Z562" s="9"/>
      <c r="AA562" s="9"/>
    </row>
    <row r="563" spans="1:27">
      <c r="A563" s="9"/>
      <c r="B563" s="9"/>
      <c r="C563" s="5"/>
      <c r="D563" s="5"/>
      <c r="E563" s="5"/>
      <c r="F563" s="9"/>
      <c r="G563" s="9"/>
      <c r="H563" s="9"/>
      <c r="I563" s="9"/>
      <c r="J563" s="9"/>
      <c r="K563" s="9"/>
      <c r="L563" s="9"/>
      <c r="M563" s="9"/>
      <c r="N563" s="9"/>
      <c r="O563" s="9"/>
      <c r="P563" s="9"/>
      <c r="Q563" s="9"/>
      <c r="R563" s="9"/>
      <c r="S563" s="9"/>
      <c r="T563" s="9"/>
      <c r="U563" s="9"/>
      <c r="V563" s="9"/>
      <c r="W563" s="9"/>
      <c r="X563" s="9"/>
      <c r="Y563" s="9"/>
      <c r="Z563" s="9"/>
      <c r="AA563" s="9"/>
    </row>
    <row r="564" spans="1:27">
      <c r="A564" s="9"/>
      <c r="B564" s="9"/>
      <c r="C564" s="5"/>
      <c r="D564" s="5"/>
      <c r="E564" s="5"/>
      <c r="F564" s="9"/>
      <c r="G564" s="9"/>
      <c r="H564" s="9"/>
      <c r="I564" s="9"/>
      <c r="J564" s="9"/>
      <c r="K564" s="9"/>
      <c r="L564" s="9"/>
      <c r="M564" s="9"/>
      <c r="N564" s="9"/>
      <c r="O564" s="9"/>
      <c r="P564" s="9"/>
      <c r="Q564" s="9"/>
      <c r="R564" s="9"/>
      <c r="S564" s="9"/>
      <c r="T564" s="9"/>
      <c r="U564" s="9"/>
      <c r="V564" s="9"/>
      <c r="W564" s="9"/>
      <c r="X564" s="9"/>
      <c r="Y564" s="9"/>
      <c r="Z564" s="9"/>
      <c r="AA564" s="9"/>
    </row>
    <row r="565" spans="1:27">
      <c r="A565" s="9"/>
      <c r="B565" s="9"/>
      <c r="C565" s="5"/>
      <c r="D565" s="5"/>
      <c r="E565" s="5"/>
      <c r="F565" s="9"/>
      <c r="G565" s="9"/>
      <c r="H565" s="9"/>
      <c r="I565" s="9"/>
      <c r="J565" s="9"/>
      <c r="K565" s="9"/>
      <c r="L565" s="9"/>
      <c r="M565" s="9"/>
      <c r="N565" s="9"/>
      <c r="O565" s="9"/>
      <c r="P565" s="9"/>
      <c r="Q565" s="9"/>
      <c r="R565" s="9"/>
      <c r="S565" s="9"/>
      <c r="T565" s="9"/>
      <c r="U565" s="9"/>
      <c r="V565" s="9"/>
      <c r="W565" s="9"/>
      <c r="X565" s="9"/>
      <c r="Y565" s="9"/>
      <c r="Z565" s="9"/>
      <c r="AA565" s="9"/>
    </row>
    <row r="566" spans="1:27">
      <c r="A566" s="9"/>
      <c r="B566" s="9"/>
      <c r="C566" s="5"/>
      <c r="D566" s="5"/>
      <c r="E566" s="5"/>
      <c r="F566" s="9"/>
      <c r="G566" s="9"/>
      <c r="H566" s="9"/>
      <c r="I566" s="9"/>
      <c r="J566" s="9"/>
      <c r="K566" s="9"/>
      <c r="L566" s="9"/>
      <c r="M566" s="9"/>
      <c r="N566" s="9"/>
      <c r="O566" s="9"/>
      <c r="P566" s="9"/>
      <c r="Q566" s="9"/>
      <c r="R566" s="9"/>
      <c r="S566" s="9"/>
      <c r="T566" s="9"/>
      <c r="U566" s="9"/>
      <c r="V566" s="9"/>
      <c r="W566" s="9"/>
      <c r="X566" s="9"/>
      <c r="Y566" s="9"/>
      <c r="Z566" s="9"/>
      <c r="AA566" s="9"/>
    </row>
    <row r="567" spans="1:27">
      <c r="A567" s="9"/>
      <c r="B567" s="9"/>
      <c r="C567" s="5"/>
      <c r="D567" s="5"/>
      <c r="E567" s="5"/>
      <c r="F567" s="9"/>
      <c r="G567" s="9"/>
      <c r="H567" s="9"/>
      <c r="I567" s="9"/>
      <c r="J567" s="9"/>
      <c r="K567" s="9"/>
      <c r="L567" s="9"/>
      <c r="M567" s="9"/>
      <c r="N567" s="9"/>
      <c r="O567" s="9"/>
      <c r="P567" s="9"/>
      <c r="Q567" s="9"/>
      <c r="R567" s="9"/>
      <c r="S567" s="9"/>
      <c r="T567" s="9"/>
      <c r="U567" s="9"/>
      <c r="V567" s="9"/>
      <c r="W567" s="9"/>
      <c r="X567" s="9"/>
      <c r="Y567" s="9"/>
      <c r="Z567" s="9"/>
      <c r="AA567" s="9"/>
    </row>
    <row r="568" spans="1:27">
      <c r="A568" s="9"/>
      <c r="B568" s="9"/>
      <c r="C568" s="5"/>
      <c r="D568" s="5"/>
      <c r="E568" s="5"/>
      <c r="F568" s="9"/>
      <c r="G568" s="9"/>
      <c r="H568" s="9"/>
      <c r="I568" s="9"/>
      <c r="J568" s="9"/>
      <c r="K568" s="9"/>
      <c r="L568" s="9"/>
      <c r="M568" s="9"/>
      <c r="N568" s="9"/>
      <c r="O568" s="9"/>
      <c r="P568" s="9"/>
      <c r="Q568" s="9"/>
      <c r="R568" s="9"/>
      <c r="S568" s="9"/>
      <c r="T568" s="9"/>
      <c r="U568" s="9"/>
      <c r="V568" s="9"/>
      <c r="W568" s="9"/>
      <c r="X568" s="9"/>
      <c r="Y568" s="9"/>
      <c r="Z568" s="9"/>
      <c r="AA568" s="9"/>
    </row>
    <row r="569" spans="1:27">
      <c r="A569" s="9"/>
      <c r="B569" s="9"/>
      <c r="C569" s="5"/>
      <c r="D569" s="5"/>
      <c r="E569" s="5"/>
      <c r="F569" s="9"/>
      <c r="G569" s="9"/>
      <c r="H569" s="9"/>
      <c r="I569" s="9"/>
      <c r="J569" s="9"/>
      <c r="K569" s="9"/>
      <c r="L569" s="9"/>
      <c r="M569" s="9"/>
      <c r="N569" s="9"/>
      <c r="O569" s="9"/>
      <c r="P569" s="9"/>
      <c r="Q569" s="9"/>
      <c r="R569" s="9"/>
      <c r="S569" s="9"/>
      <c r="T569" s="9"/>
      <c r="U569" s="9"/>
      <c r="V569" s="9"/>
      <c r="W569" s="9"/>
      <c r="X569" s="9"/>
      <c r="Y569" s="9"/>
      <c r="Z569" s="9"/>
      <c r="AA569" s="9"/>
    </row>
    <row r="570" spans="1:27">
      <c r="A570" s="9"/>
      <c r="B570" s="9"/>
      <c r="C570" s="5"/>
      <c r="D570" s="5"/>
      <c r="E570" s="5"/>
      <c r="F570" s="9"/>
      <c r="G570" s="9"/>
      <c r="H570" s="9"/>
      <c r="I570" s="9"/>
      <c r="J570" s="9"/>
      <c r="K570" s="9"/>
      <c r="L570" s="9"/>
      <c r="M570" s="9"/>
      <c r="N570" s="9"/>
      <c r="O570" s="9"/>
      <c r="P570" s="9"/>
      <c r="Q570" s="9"/>
      <c r="R570" s="9"/>
      <c r="S570" s="9"/>
      <c r="T570" s="9"/>
      <c r="U570" s="9"/>
      <c r="V570" s="9"/>
      <c r="W570" s="9"/>
      <c r="X570" s="9"/>
      <c r="Y570" s="9"/>
      <c r="Z570" s="9"/>
      <c r="AA570" s="9"/>
    </row>
    <row r="571" spans="1:27">
      <c r="A571" s="9"/>
      <c r="B571" s="9"/>
      <c r="C571" s="5"/>
      <c r="D571" s="5"/>
      <c r="E571" s="5"/>
      <c r="F571" s="9"/>
      <c r="G571" s="9"/>
      <c r="H571" s="9"/>
      <c r="I571" s="9"/>
      <c r="J571" s="9"/>
      <c r="K571" s="9"/>
      <c r="L571" s="9"/>
      <c r="M571" s="9"/>
      <c r="N571" s="9"/>
      <c r="O571" s="9"/>
      <c r="P571" s="9"/>
      <c r="Q571" s="9"/>
      <c r="R571" s="9"/>
      <c r="S571" s="9"/>
      <c r="T571" s="9"/>
      <c r="U571" s="9"/>
      <c r="V571" s="9"/>
      <c r="W571" s="9"/>
      <c r="X571" s="9"/>
      <c r="Y571" s="9"/>
      <c r="Z571" s="9"/>
      <c r="AA571" s="9"/>
    </row>
    <row r="572" spans="1:27">
      <c r="A572" s="9"/>
      <c r="B572" s="9"/>
      <c r="C572" s="5"/>
      <c r="D572" s="5"/>
      <c r="E572" s="5"/>
      <c r="F572" s="9"/>
      <c r="G572" s="9"/>
      <c r="H572" s="9"/>
      <c r="I572" s="9"/>
      <c r="J572" s="9"/>
      <c r="K572" s="9"/>
      <c r="L572" s="9"/>
      <c r="M572" s="9"/>
      <c r="N572" s="9"/>
      <c r="O572" s="9"/>
      <c r="P572" s="9"/>
      <c r="Q572" s="9"/>
      <c r="R572" s="9"/>
      <c r="S572" s="9"/>
      <c r="T572" s="9"/>
      <c r="U572" s="9"/>
      <c r="V572" s="9"/>
      <c r="W572" s="9"/>
      <c r="X572" s="9"/>
      <c r="Y572" s="9"/>
      <c r="Z572" s="9"/>
      <c r="AA572" s="9"/>
    </row>
    <row r="573" spans="1:27">
      <c r="A573" s="9"/>
      <c r="B573" s="9"/>
      <c r="C573" s="5"/>
      <c r="D573" s="5"/>
      <c r="E573" s="5"/>
      <c r="F573" s="9"/>
      <c r="G573" s="9"/>
      <c r="H573" s="9"/>
      <c r="I573" s="9"/>
      <c r="J573" s="9"/>
      <c r="K573" s="9"/>
      <c r="L573" s="9"/>
      <c r="M573" s="9"/>
      <c r="N573" s="9"/>
      <c r="O573" s="9"/>
      <c r="P573" s="9"/>
      <c r="Q573" s="9"/>
      <c r="R573" s="9"/>
      <c r="S573" s="9"/>
      <c r="T573" s="9"/>
      <c r="U573" s="9"/>
      <c r="V573" s="9"/>
      <c r="W573" s="9"/>
      <c r="X573" s="9"/>
      <c r="Y573" s="9"/>
      <c r="Z573" s="9"/>
      <c r="AA573" s="9"/>
    </row>
    <row r="574" spans="1:27">
      <c r="A574" s="9"/>
      <c r="B574" s="9"/>
      <c r="C574" s="5"/>
      <c r="D574" s="5"/>
      <c r="E574" s="5"/>
      <c r="F574" s="9"/>
      <c r="G574" s="9"/>
      <c r="H574" s="9"/>
      <c r="I574" s="9"/>
      <c r="J574" s="9"/>
      <c r="K574" s="9"/>
      <c r="L574" s="9"/>
      <c r="M574" s="9"/>
      <c r="N574" s="9"/>
      <c r="O574" s="9"/>
      <c r="P574" s="9"/>
      <c r="Q574" s="9"/>
      <c r="R574" s="9"/>
      <c r="S574" s="9"/>
      <c r="T574" s="9"/>
      <c r="U574" s="9"/>
      <c r="V574" s="9"/>
      <c r="W574" s="9"/>
      <c r="X574" s="9"/>
      <c r="Y574" s="9"/>
      <c r="Z574" s="9"/>
      <c r="AA574" s="9"/>
    </row>
    <row r="575" spans="1:27">
      <c r="A575" s="9"/>
      <c r="B575" s="9"/>
      <c r="C575" s="5"/>
      <c r="D575" s="5"/>
      <c r="E575" s="5"/>
      <c r="F575" s="9"/>
      <c r="G575" s="9"/>
      <c r="H575" s="9"/>
      <c r="I575" s="9"/>
      <c r="J575" s="9"/>
      <c r="K575" s="9"/>
      <c r="L575" s="9"/>
      <c r="M575" s="9"/>
      <c r="N575" s="9"/>
      <c r="O575" s="9"/>
      <c r="P575" s="9"/>
      <c r="Q575" s="9"/>
      <c r="R575" s="9"/>
      <c r="S575" s="9"/>
      <c r="T575" s="9"/>
      <c r="U575" s="9"/>
      <c r="V575" s="9"/>
      <c r="W575" s="9"/>
      <c r="X575" s="9"/>
      <c r="Y575" s="9"/>
      <c r="Z575" s="9"/>
      <c r="AA575" s="9"/>
    </row>
    <row r="576" spans="1:27">
      <c r="A576" s="9"/>
      <c r="B576" s="9"/>
      <c r="C576" s="5"/>
      <c r="D576" s="5"/>
      <c r="E576" s="5"/>
      <c r="F576" s="9"/>
      <c r="G576" s="9"/>
      <c r="H576" s="9"/>
      <c r="I576" s="9"/>
      <c r="J576" s="9"/>
      <c r="K576" s="9"/>
      <c r="L576" s="9"/>
      <c r="M576" s="9"/>
      <c r="N576" s="9"/>
      <c r="O576" s="9"/>
      <c r="P576" s="9"/>
      <c r="Q576" s="9"/>
      <c r="R576" s="9"/>
      <c r="S576" s="9"/>
      <c r="T576" s="9"/>
      <c r="U576" s="9"/>
      <c r="V576" s="9"/>
      <c r="W576" s="9"/>
      <c r="X576" s="9"/>
      <c r="Y576" s="9"/>
      <c r="Z576" s="9"/>
      <c r="AA576" s="9"/>
    </row>
    <row r="577" spans="1:27">
      <c r="A577" s="9"/>
      <c r="B577" s="9"/>
      <c r="C577" s="5"/>
      <c r="D577" s="5"/>
      <c r="E577" s="5"/>
      <c r="F577" s="9"/>
      <c r="G577" s="9"/>
      <c r="H577" s="9"/>
      <c r="I577" s="9"/>
      <c r="J577" s="9"/>
      <c r="K577" s="9"/>
      <c r="L577" s="9"/>
      <c r="M577" s="9"/>
      <c r="N577" s="9"/>
      <c r="O577" s="9"/>
      <c r="P577" s="9"/>
      <c r="Q577" s="9"/>
      <c r="R577" s="9"/>
      <c r="S577" s="9"/>
      <c r="T577" s="9"/>
      <c r="U577" s="9"/>
      <c r="V577" s="9"/>
      <c r="W577" s="9"/>
      <c r="X577" s="9"/>
      <c r="Y577" s="9"/>
      <c r="Z577" s="9"/>
      <c r="AA577" s="9"/>
    </row>
    <row r="578" spans="1:27">
      <c r="A578" s="9"/>
      <c r="B578" s="9"/>
      <c r="C578" s="5"/>
      <c r="D578" s="5"/>
      <c r="E578" s="5"/>
      <c r="F578" s="9"/>
      <c r="G578" s="9"/>
      <c r="H578" s="9"/>
      <c r="I578" s="9"/>
      <c r="J578" s="9"/>
      <c r="K578" s="9"/>
      <c r="L578" s="9"/>
      <c r="M578" s="9"/>
      <c r="N578" s="9"/>
      <c r="O578" s="9"/>
      <c r="P578" s="9"/>
      <c r="Q578" s="9"/>
      <c r="R578" s="9"/>
      <c r="S578" s="9"/>
      <c r="T578" s="9"/>
      <c r="U578" s="9"/>
      <c r="V578" s="9"/>
      <c r="W578" s="9"/>
      <c r="X578" s="9"/>
      <c r="Y578" s="9"/>
      <c r="Z578" s="9"/>
      <c r="AA578" s="9"/>
    </row>
    <row r="579" spans="1:27">
      <c r="A579" s="9"/>
      <c r="B579" s="9"/>
      <c r="C579" s="5"/>
      <c r="D579" s="5"/>
      <c r="E579" s="5"/>
      <c r="F579" s="9"/>
      <c r="G579" s="9"/>
      <c r="H579" s="9"/>
      <c r="I579" s="9"/>
      <c r="J579" s="9"/>
      <c r="K579" s="9"/>
      <c r="L579" s="9"/>
      <c r="M579" s="9"/>
      <c r="N579" s="9"/>
      <c r="O579" s="9"/>
      <c r="P579" s="9"/>
      <c r="Q579" s="9"/>
      <c r="R579" s="9"/>
      <c r="S579" s="9"/>
      <c r="T579" s="9"/>
      <c r="U579" s="9"/>
      <c r="V579" s="9"/>
      <c r="W579" s="9"/>
      <c r="X579" s="9"/>
      <c r="Y579" s="9"/>
      <c r="Z579" s="9"/>
      <c r="AA579" s="9"/>
    </row>
    <row r="580" spans="1:27">
      <c r="A580" s="9"/>
      <c r="B580" s="9"/>
      <c r="C580" s="5"/>
      <c r="D580" s="5"/>
      <c r="E580" s="5"/>
      <c r="F580" s="9"/>
      <c r="G580" s="9"/>
      <c r="H580" s="9"/>
      <c r="I580" s="9"/>
      <c r="J580" s="9"/>
      <c r="K580" s="9"/>
      <c r="L580" s="9"/>
      <c r="M580" s="9"/>
      <c r="N580" s="9"/>
      <c r="O580" s="9"/>
      <c r="P580" s="9"/>
      <c r="Q580" s="9"/>
      <c r="R580" s="9"/>
      <c r="S580" s="9"/>
      <c r="T580" s="9"/>
      <c r="U580" s="9"/>
      <c r="V580" s="9"/>
      <c r="W580" s="9"/>
      <c r="X580" s="9"/>
      <c r="Y580" s="9"/>
      <c r="Z580" s="9"/>
      <c r="AA580" s="9"/>
    </row>
    <row r="581" spans="1:27">
      <c r="A581" s="9"/>
      <c r="B581" s="9"/>
      <c r="C581" s="5"/>
      <c r="D581" s="5"/>
      <c r="E581" s="5"/>
      <c r="F581" s="9"/>
      <c r="G581" s="9"/>
      <c r="H581" s="9"/>
      <c r="I581" s="9"/>
      <c r="J581" s="9"/>
      <c r="K581" s="9"/>
      <c r="L581" s="9"/>
      <c r="M581" s="9"/>
      <c r="N581" s="9"/>
      <c r="O581" s="9"/>
      <c r="P581" s="9"/>
      <c r="Q581" s="9"/>
      <c r="R581" s="9"/>
      <c r="S581" s="9"/>
      <c r="T581" s="9"/>
      <c r="U581" s="9"/>
      <c r="V581" s="9"/>
      <c r="W581" s="9"/>
      <c r="X581" s="9"/>
      <c r="Y581" s="9"/>
      <c r="Z581" s="9"/>
      <c r="AA581" s="9"/>
    </row>
    <row r="582" spans="1:27">
      <c r="A582" s="9"/>
      <c r="B582" s="9"/>
      <c r="C582" s="5"/>
      <c r="D582" s="5"/>
      <c r="E582" s="5"/>
      <c r="F582" s="9"/>
      <c r="G582" s="9"/>
      <c r="H582" s="9"/>
      <c r="I582" s="9"/>
      <c r="J582" s="9"/>
      <c r="K582" s="9"/>
      <c r="L582" s="9"/>
      <c r="M582" s="9"/>
      <c r="N582" s="9"/>
      <c r="O582" s="9"/>
      <c r="P582" s="9"/>
      <c r="Q582" s="9"/>
      <c r="R582" s="9"/>
      <c r="S582" s="9"/>
      <c r="T582" s="9"/>
      <c r="U582" s="9"/>
      <c r="V582" s="9"/>
      <c r="W582" s="9"/>
      <c r="X582" s="9"/>
      <c r="Y582" s="9"/>
      <c r="Z582" s="9"/>
      <c r="AA582" s="9"/>
    </row>
    <row r="583" spans="1:27">
      <c r="A583" s="9"/>
      <c r="B583" s="9"/>
      <c r="C583" s="5"/>
      <c r="D583" s="5"/>
      <c r="E583" s="5"/>
      <c r="F583" s="9"/>
      <c r="G583" s="9"/>
      <c r="H583" s="9"/>
      <c r="I583" s="9"/>
      <c r="J583" s="9"/>
      <c r="K583" s="9"/>
      <c r="L583" s="9"/>
      <c r="M583" s="9"/>
      <c r="N583" s="9"/>
      <c r="O583" s="9"/>
      <c r="P583" s="9"/>
      <c r="Q583" s="9"/>
      <c r="R583" s="9"/>
      <c r="S583" s="9"/>
      <c r="T583" s="9"/>
      <c r="U583" s="9"/>
      <c r="V583" s="9"/>
      <c r="W583" s="9"/>
      <c r="X583" s="9"/>
      <c r="Y583" s="9"/>
      <c r="Z583" s="9"/>
      <c r="AA583" s="9"/>
    </row>
    <row r="584" spans="1:27">
      <c r="A584" s="9"/>
      <c r="B584" s="9"/>
      <c r="C584" s="5"/>
      <c r="D584" s="5"/>
      <c r="E584" s="5"/>
      <c r="F584" s="9"/>
      <c r="G584" s="9"/>
      <c r="H584" s="9"/>
      <c r="I584" s="9"/>
      <c r="J584" s="9"/>
      <c r="K584" s="9"/>
      <c r="L584" s="9"/>
      <c r="M584" s="9"/>
      <c r="N584" s="9"/>
      <c r="O584" s="9"/>
      <c r="P584" s="9"/>
      <c r="Q584" s="9"/>
      <c r="R584" s="9"/>
      <c r="S584" s="9"/>
      <c r="T584" s="9"/>
      <c r="U584" s="9"/>
      <c r="V584" s="9"/>
      <c r="W584" s="9"/>
      <c r="X584" s="9"/>
      <c r="Y584" s="9"/>
      <c r="Z584" s="9"/>
      <c r="AA584" s="9"/>
    </row>
    <row r="585" spans="1:27">
      <c r="A585" s="9"/>
      <c r="B585" s="9"/>
      <c r="C585" s="5"/>
      <c r="D585" s="5"/>
      <c r="E585" s="5"/>
      <c r="F585" s="9"/>
      <c r="G585" s="9"/>
      <c r="H585" s="9"/>
      <c r="I585" s="9"/>
      <c r="J585" s="9"/>
      <c r="K585" s="9"/>
      <c r="L585" s="9"/>
      <c r="M585" s="9"/>
      <c r="N585" s="9"/>
      <c r="O585" s="9"/>
      <c r="P585" s="9"/>
      <c r="Q585" s="9"/>
      <c r="R585" s="9"/>
      <c r="S585" s="9"/>
      <c r="T585" s="9"/>
      <c r="U585" s="9"/>
      <c r="V585" s="9"/>
      <c r="W585" s="9"/>
      <c r="X585" s="9"/>
      <c r="Y585" s="9"/>
      <c r="Z585" s="9"/>
      <c r="AA585" s="9"/>
    </row>
    <row r="586" spans="1:27">
      <c r="A586" s="9"/>
      <c r="B586" s="9"/>
      <c r="C586" s="5"/>
      <c r="D586" s="5"/>
      <c r="E586" s="5"/>
      <c r="F586" s="9"/>
      <c r="G586" s="9"/>
      <c r="H586" s="9"/>
      <c r="I586" s="9"/>
      <c r="J586" s="9"/>
      <c r="K586" s="9"/>
      <c r="L586" s="9"/>
      <c r="M586" s="9"/>
      <c r="N586" s="9"/>
      <c r="O586" s="9"/>
      <c r="P586" s="9"/>
      <c r="Q586" s="9"/>
      <c r="R586" s="9"/>
      <c r="S586" s="9"/>
      <c r="T586" s="9"/>
      <c r="U586" s="9"/>
      <c r="V586" s="9"/>
      <c r="W586" s="9"/>
      <c r="X586" s="9"/>
      <c r="Y586" s="9"/>
      <c r="Z586" s="9"/>
      <c r="AA586" s="9"/>
    </row>
    <row r="587" spans="1:27">
      <c r="A587" s="9"/>
      <c r="B587" s="9"/>
      <c r="C587" s="5"/>
      <c r="D587" s="5"/>
      <c r="E587" s="5"/>
      <c r="F587" s="9"/>
      <c r="G587" s="9"/>
      <c r="H587" s="9"/>
      <c r="I587" s="9"/>
      <c r="J587" s="9"/>
      <c r="K587" s="9"/>
      <c r="L587" s="9"/>
      <c r="M587" s="9"/>
      <c r="N587" s="9"/>
      <c r="O587" s="9"/>
      <c r="P587" s="9"/>
      <c r="Q587" s="9"/>
      <c r="R587" s="9"/>
      <c r="S587" s="9"/>
      <c r="T587" s="9"/>
      <c r="U587" s="9"/>
      <c r="V587" s="9"/>
      <c r="W587" s="9"/>
      <c r="X587" s="9"/>
      <c r="Y587" s="9"/>
      <c r="Z587" s="9"/>
      <c r="AA587" s="9"/>
    </row>
    <row r="588" spans="1:27">
      <c r="A588" s="9"/>
      <c r="B588" s="9"/>
      <c r="C588" s="5"/>
      <c r="D588" s="5"/>
      <c r="E588" s="5"/>
      <c r="F588" s="9"/>
      <c r="G588" s="9"/>
      <c r="H588" s="9"/>
      <c r="I588" s="9"/>
      <c r="J588" s="9"/>
      <c r="K588" s="9"/>
      <c r="L588" s="9"/>
      <c r="M588" s="9"/>
      <c r="N588" s="9"/>
      <c r="O588" s="9"/>
      <c r="P588" s="9"/>
      <c r="Q588" s="9"/>
      <c r="R588" s="9"/>
      <c r="S588" s="9"/>
      <c r="T588" s="9"/>
      <c r="U588" s="9"/>
      <c r="V588" s="9"/>
      <c r="W588" s="9"/>
      <c r="X588" s="9"/>
      <c r="Y588" s="9"/>
      <c r="Z588" s="9"/>
      <c r="AA588" s="9"/>
    </row>
    <row r="589" spans="1:27">
      <c r="A589" s="9"/>
      <c r="B589" s="9"/>
      <c r="C589" s="5"/>
      <c r="D589" s="5"/>
      <c r="E589" s="5"/>
      <c r="F589" s="9"/>
      <c r="G589" s="9"/>
      <c r="H589" s="9"/>
      <c r="I589" s="9"/>
      <c r="J589" s="9"/>
      <c r="K589" s="9"/>
      <c r="L589" s="9"/>
      <c r="M589" s="9"/>
      <c r="N589" s="9"/>
      <c r="O589" s="9"/>
      <c r="P589" s="9"/>
      <c r="Q589" s="9"/>
      <c r="R589" s="9"/>
      <c r="S589" s="9"/>
      <c r="T589" s="9"/>
      <c r="U589" s="9"/>
      <c r="V589" s="9"/>
      <c r="W589" s="9"/>
      <c r="X589" s="9"/>
      <c r="Y589" s="9"/>
      <c r="Z589" s="9"/>
      <c r="AA589" s="9"/>
    </row>
    <row r="590" spans="1:27">
      <c r="A590" s="9"/>
      <c r="B590" s="9"/>
      <c r="C590" s="5"/>
      <c r="D590" s="5"/>
      <c r="E590" s="5"/>
      <c r="F590" s="9"/>
      <c r="G590" s="9"/>
      <c r="H590" s="9"/>
      <c r="I590" s="9"/>
      <c r="J590" s="9"/>
      <c r="K590" s="9"/>
      <c r="L590" s="9"/>
      <c r="M590" s="9"/>
      <c r="N590" s="9"/>
      <c r="O590" s="9"/>
      <c r="P590" s="9"/>
      <c r="Q590" s="9"/>
      <c r="R590" s="9"/>
      <c r="S590" s="9"/>
      <c r="T590" s="9"/>
      <c r="U590" s="9"/>
      <c r="V590" s="9"/>
      <c r="W590" s="9"/>
      <c r="X590" s="9"/>
      <c r="Y590" s="9"/>
      <c r="Z590" s="9"/>
      <c r="AA590" s="9"/>
    </row>
    <row r="591" spans="1:27">
      <c r="A591" s="9"/>
      <c r="B591" s="9"/>
      <c r="C591" s="5"/>
      <c r="D591" s="5"/>
      <c r="E591" s="5"/>
      <c r="F591" s="9"/>
      <c r="G591" s="9"/>
      <c r="H591" s="9"/>
      <c r="I591" s="9"/>
      <c r="J591" s="9"/>
      <c r="K591" s="9"/>
      <c r="L591" s="9"/>
      <c r="M591" s="9"/>
      <c r="N591" s="9"/>
      <c r="O591" s="9"/>
      <c r="P591" s="9"/>
      <c r="Q591" s="9"/>
      <c r="R591" s="9"/>
      <c r="S591" s="9"/>
      <c r="T591" s="9"/>
      <c r="U591" s="9"/>
      <c r="V591" s="9"/>
      <c r="W591" s="9"/>
      <c r="X591" s="9"/>
      <c r="Y591" s="9"/>
      <c r="Z591" s="9"/>
      <c r="AA591" s="9"/>
    </row>
    <row r="592" spans="1:27">
      <c r="A592" s="9"/>
      <c r="B592" s="9"/>
      <c r="C592" s="5"/>
      <c r="D592" s="5"/>
      <c r="E592" s="5"/>
      <c r="F592" s="9"/>
      <c r="G592" s="9"/>
      <c r="H592" s="9"/>
      <c r="I592" s="9"/>
      <c r="J592" s="9"/>
      <c r="K592" s="9"/>
      <c r="L592" s="9"/>
      <c r="M592" s="9"/>
      <c r="N592" s="9"/>
      <c r="O592" s="9"/>
      <c r="P592" s="9"/>
      <c r="Q592" s="9"/>
      <c r="R592" s="9"/>
      <c r="S592" s="9"/>
      <c r="T592" s="9"/>
      <c r="U592" s="9"/>
      <c r="V592" s="9"/>
      <c r="W592" s="9"/>
      <c r="X592" s="9"/>
      <c r="Y592" s="9"/>
      <c r="Z592" s="9"/>
      <c r="AA592" s="9"/>
    </row>
    <row r="593" spans="1:27">
      <c r="A593" s="9"/>
      <c r="B593" s="9"/>
      <c r="C593" s="5"/>
      <c r="D593" s="5"/>
      <c r="E593" s="5"/>
      <c r="F593" s="9"/>
      <c r="G593" s="9"/>
      <c r="H593" s="9"/>
      <c r="I593" s="9"/>
      <c r="J593" s="9"/>
      <c r="K593" s="9"/>
      <c r="L593" s="9"/>
      <c r="M593" s="9"/>
      <c r="N593" s="9"/>
      <c r="O593" s="9"/>
      <c r="P593" s="9"/>
      <c r="Q593" s="9"/>
      <c r="R593" s="9"/>
      <c r="S593" s="9"/>
      <c r="T593" s="9"/>
      <c r="U593" s="9"/>
      <c r="V593" s="9"/>
      <c r="W593" s="9"/>
      <c r="X593" s="9"/>
      <c r="Y593" s="9"/>
      <c r="Z593" s="9"/>
      <c r="AA593" s="9"/>
    </row>
    <row r="594" spans="1:27">
      <c r="A594" s="9"/>
      <c r="B594" s="9"/>
      <c r="C594" s="5"/>
      <c r="D594" s="5"/>
      <c r="E594" s="5"/>
      <c r="F594" s="9"/>
      <c r="G594" s="9"/>
      <c r="H594" s="9"/>
      <c r="I594" s="9"/>
      <c r="J594" s="9"/>
      <c r="K594" s="9"/>
      <c r="L594" s="9"/>
      <c r="M594" s="9"/>
      <c r="N594" s="9"/>
      <c r="O594" s="9"/>
      <c r="P594" s="9"/>
      <c r="Q594" s="9"/>
      <c r="R594" s="9"/>
      <c r="S594" s="9"/>
      <c r="T594" s="9"/>
      <c r="U594" s="9"/>
      <c r="V594" s="9"/>
      <c r="W594" s="9"/>
      <c r="X594" s="9"/>
      <c r="Y594" s="9"/>
      <c r="Z594" s="9"/>
      <c r="AA594" s="9"/>
    </row>
    <row r="595" spans="1:27">
      <c r="A595" s="9"/>
      <c r="B595" s="9"/>
      <c r="C595" s="5"/>
      <c r="D595" s="5"/>
      <c r="E595" s="5"/>
      <c r="F595" s="9"/>
      <c r="G595" s="9"/>
      <c r="H595" s="9"/>
      <c r="I595" s="9"/>
      <c r="J595" s="9"/>
      <c r="K595" s="9"/>
      <c r="L595" s="9"/>
      <c r="M595" s="9"/>
      <c r="N595" s="9"/>
      <c r="O595" s="9"/>
      <c r="P595" s="9"/>
      <c r="Q595" s="9"/>
      <c r="R595" s="9"/>
      <c r="S595" s="9"/>
      <c r="T595" s="9"/>
      <c r="U595" s="9"/>
      <c r="V595" s="9"/>
      <c r="W595" s="9"/>
      <c r="X595" s="9"/>
      <c r="Y595" s="9"/>
      <c r="Z595" s="9"/>
      <c r="AA595" s="9"/>
    </row>
    <row r="596" spans="1:27">
      <c r="A596" s="9"/>
      <c r="B596" s="9"/>
      <c r="C596" s="5"/>
      <c r="D596" s="5"/>
      <c r="E596" s="5"/>
      <c r="F596" s="9"/>
      <c r="G596" s="9"/>
      <c r="H596" s="9"/>
      <c r="I596" s="9"/>
      <c r="J596" s="9"/>
      <c r="K596" s="9"/>
      <c r="L596" s="9"/>
      <c r="M596" s="9"/>
      <c r="N596" s="9"/>
      <c r="O596" s="9"/>
      <c r="P596" s="9"/>
      <c r="Q596" s="9"/>
      <c r="R596" s="9"/>
      <c r="S596" s="9"/>
      <c r="T596" s="9"/>
      <c r="U596" s="9"/>
      <c r="V596" s="9"/>
      <c r="W596" s="9"/>
      <c r="X596" s="9"/>
      <c r="Y596" s="9"/>
      <c r="Z596" s="9"/>
      <c r="AA596" s="9"/>
    </row>
    <row r="597" spans="1:27">
      <c r="A597" s="9"/>
      <c r="B597" s="9"/>
      <c r="C597" s="5"/>
      <c r="D597" s="5"/>
      <c r="E597" s="5"/>
      <c r="F597" s="9"/>
      <c r="G597" s="9"/>
      <c r="H597" s="9"/>
      <c r="I597" s="9"/>
      <c r="J597" s="9"/>
      <c r="K597" s="9"/>
      <c r="L597" s="9"/>
      <c r="M597" s="9"/>
      <c r="N597" s="9"/>
      <c r="O597" s="9"/>
      <c r="P597" s="9"/>
      <c r="Q597" s="9"/>
      <c r="R597" s="9"/>
      <c r="S597" s="9"/>
      <c r="T597" s="9"/>
      <c r="U597" s="9"/>
      <c r="V597" s="9"/>
      <c r="W597" s="9"/>
      <c r="X597" s="9"/>
      <c r="Y597" s="9"/>
      <c r="Z597" s="9"/>
      <c r="AA597" s="9"/>
    </row>
    <row r="598" spans="1:27">
      <c r="A598" s="9"/>
      <c r="B598" s="9"/>
      <c r="C598" s="5"/>
      <c r="D598" s="5"/>
      <c r="E598" s="5"/>
      <c r="F598" s="9"/>
      <c r="G598" s="9"/>
      <c r="H598" s="9"/>
      <c r="I598" s="9"/>
      <c r="J598" s="9"/>
      <c r="K598" s="9"/>
      <c r="L598" s="9"/>
      <c r="M598" s="9"/>
      <c r="N598" s="9"/>
      <c r="O598" s="9"/>
      <c r="P598" s="9"/>
      <c r="Q598" s="9"/>
      <c r="R598" s="9"/>
      <c r="S598" s="9"/>
      <c r="T598" s="9"/>
      <c r="U598" s="9"/>
      <c r="V598" s="9"/>
      <c r="W598" s="9"/>
      <c r="X598" s="9"/>
      <c r="Y598" s="9"/>
      <c r="Z598" s="9"/>
      <c r="AA598" s="9"/>
    </row>
    <row r="599" spans="1:27">
      <c r="A599" s="9"/>
      <c r="B599" s="9"/>
      <c r="C599" s="5"/>
      <c r="D599" s="5"/>
      <c r="E599" s="5"/>
      <c r="F599" s="9"/>
      <c r="G599" s="9"/>
      <c r="H599" s="9"/>
      <c r="I599" s="9"/>
      <c r="J599" s="9"/>
      <c r="K599" s="9"/>
      <c r="L599" s="9"/>
      <c r="M599" s="9"/>
      <c r="N599" s="9"/>
      <c r="O599" s="9"/>
      <c r="P599" s="9"/>
      <c r="Q599" s="9"/>
      <c r="R599" s="9"/>
      <c r="S599" s="9"/>
      <c r="T599" s="9"/>
      <c r="U599" s="9"/>
      <c r="V599" s="9"/>
      <c r="W599" s="9"/>
      <c r="X599" s="9"/>
      <c r="Y599" s="9"/>
      <c r="Z599" s="9"/>
      <c r="AA599" s="9"/>
    </row>
    <row r="600" spans="1:27">
      <c r="A600" s="9"/>
      <c r="B600" s="9"/>
      <c r="C600" s="5"/>
      <c r="D600" s="5"/>
      <c r="E600" s="5"/>
      <c r="F600" s="9"/>
      <c r="G600" s="9"/>
      <c r="H600" s="9"/>
      <c r="I600" s="9"/>
      <c r="J600" s="9"/>
      <c r="K600" s="9"/>
      <c r="L600" s="9"/>
      <c r="M600" s="9"/>
      <c r="N600" s="9"/>
      <c r="O600" s="9"/>
      <c r="P600" s="9"/>
      <c r="Q600" s="9"/>
      <c r="R600" s="9"/>
      <c r="S600" s="9"/>
      <c r="T600" s="9"/>
      <c r="U600" s="9"/>
      <c r="V600" s="9"/>
      <c r="W600" s="9"/>
      <c r="X600" s="9"/>
      <c r="Y600" s="9"/>
      <c r="Z600" s="9"/>
      <c r="AA600" s="9"/>
    </row>
    <row r="601" spans="1:27">
      <c r="A601" s="9"/>
      <c r="B601" s="9"/>
      <c r="C601" s="5"/>
      <c r="D601" s="5"/>
      <c r="E601" s="5"/>
      <c r="F601" s="9"/>
      <c r="G601" s="9"/>
      <c r="H601" s="9"/>
      <c r="I601" s="9"/>
      <c r="J601" s="9"/>
      <c r="K601" s="9"/>
      <c r="L601" s="9"/>
      <c r="M601" s="9"/>
      <c r="N601" s="9"/>
      <c r="O601" s="9"/>
      <c r="P601" s="9"/>
      <c r="Q601" s="9"/>
      <c r="R601" s="9"/>
      <c r="S601" s="9"/>
      <c r="T601" s="9"/>
      <c r="U601" s="9"/>
      <c r="V601" s="9"/>
      <c r="W601" s="9"/>
      <c r="X601" s="9"/>
      <c r="Y601" s="9"/>
      <c r="Z601" s="9"/>
      <c r="AA601" s="9"/>
    </row>
    <row r="602" spans="1:27">
      <c r="A602" s="9"/>
      <c r="B602" s="9"/>
      <c r="C602" s="5"/>
      <c r="D602" s="5"/>
      <c r="E602" s="5"/>
      <c r="F602" s="9"/>
      <c r="G602" s="9"/>
      <c r="H602" s="9"/>
      <c r="I602" s="9"/>
      <c r="J602" s="9"/>
      <c r="K602" s="9"/>
      <c r="L602" s="9"/>
      <c r="M602" s="9"/>
      <c r="N602" s="9"/>
      <c r="O602" s="9"/>
      <c r="P602" s="9"/>
      <c r="Q602" s="9"/>
      <c r="R602" s="9"/>
      <c r="S602" s="9"/>
      <c r="T602" s="9"/>
      <c r="U602" s="9"/>
      <c r="V602" s="9"/>
      <c r="W602" s="9"/>
      <c r="X602" s="9"/>
      <c r="Y602" s="9"/>
      <c r="Z602" s="9"/>
      <c r="AA602" s="9"/>
    </row>
    <row r="603" spans="1:27">
      <c r="A603" s="9"/>
      <c r="B603" s="9"/>
      <c r="C603" s="5"/>
      <c r="D603" s="5"/>
      <c r="E603" s="5"/>
      <c r="F603" s="9"/>
      <c r="G603" s="9"/>
      <c r="H603" s="9"/>
      <c r="I603" s="9"/>
      <c r="J603" s="9"/>
      <c r="K603" s="9"/>
      <c r="L603" s="9"/>
      <c r="M603" s="9"/>
      <c r="N603" s="9"/>
      <c r="O603" s="9"/>
      <c r="P603" s="9"/>
      <c r="Q603" s="9"/>
      <c r="R603" s="9"/>
      <c r="S603" s="9"/>
      <c r="T603" s="9"/>
      <c r="U603" s="9"/>
      <c r="V603" s="9"/>
      <c r="W603" s="9"/>
      <c r="X603" s="9"/>
      <c r="Y603" s="9"/>
      <c r="Z603" s="9"/>
      <c r="AA603" s="9"/>
    </row>
    <row r="604" spans="1:27">
      <c r="A604" s="9"/>
      <c r="B604" s="9"/>
      <c r="C604" s="5"/>
      <c r="D604" s="5"/>
      <c r="E604" s="5"/>
      <c r="F604" s="9"/>
      <c r="G604" s="9"/>
      <c r="H604" s="9"/>
      <c r="I604" s="9"/>
      <c r="J604" s="9"/>
      <c r="K604" s="9"/>
      <c r="L604" s="9"/>
      <c r="M604" s="9"/>
      <c r="N604" s="9"/>
      <c r="O604" s="9"/>
      <c r="P604" s="9"/>
      <c r="Q604" s="9"/>
      <c r="R604" s="9"/>
      <c r="S604" s="9"/>
      <c r="T604" s="9"/>
      <c r="U604" s="9"/>
      <c r="V604" s="9"/>
      <c r="W604" s="9"/>
      <c r="X604" s="9"/>
      <c r="Y604" s="9"/>
      <c r="Z604" s="9"/>
      <c r="AA604" s="9"/>
    </row>
    <row r="605" spans="1:27">
      <c r="A605" s="9"/>
      <c r="B605" s="9"/>
      <c r="C605" s="5"/>
      <c r="D605" s="5"/>
      <c r="E605" s="5"/>
      <c r="F605" s="9"/>
      <c r="G605" s="9"/>
      <c r="H605" s="9"/>
      <c r="I605" s="9"/>
      <c r="J605" s="9"/>
      <c r="K605" s="9"/>
      <c r="L605" s="9"/>
      <c r="M605" s="9"/>
      <c r="N605" s="9"/>
      <c r="O605" s="9"/>
      <c r="P605" s="9"/>
      <c r="Q605" s="9"/>
      <c r="R605" s="9"/>
      <c r="S605" s="9"/>
      <c r="T605" s="9"/>
      <c r="U605" s="9"/>
      <c r="V605" s="9"/>
      <c r="W605" s="9"/>
      <c r="X605" s="9"/>
      <c r="Y605" s="9"/>
      <c r="Z605" s="9"/>
      <c r="AA605" s="9"/>
    </row>
    <row r="606" spans="1:27">
      <c r="A606" s="9"/>
      <c r="B606" s="9"/>
      <c r="C606" s="5"/>
      <c r="D606" s="5"/>
      <c r="E606" s="5"/>
      <c r="F606" s="9"/>
      <c r="G606" s="9"/>
      <c r="H606" s="9"/>
      <c r="I606" s="9"/>
      <c r="J606" s="9"/>
      <c r="K606" s="9"/>
      <c r="L606" s="9"/>
      <c r="M606" s="9"/>
      <c r="N606" s="9"/>
      <c r="O606" s="9"/>
      <c r="P606" s="9"/>
      <c r="Q606" s="9"/>
      <c r="R606" s="9"/>
      <c r="S606" s="9"/>
      <c r="T606" s="9"/>
      <c r="U606" s="9"/>
      <c r="V606" s="9"/>
      <c r="W606" s="9"/>
      <c r="X606" s="9"/>
      <c r="Y606" s="9"/>
      <c r="Z606" s="9"/>
      <c r="AA606" s="9"/>
    </row>
    <row r="607" spans="1:27">
      <c r="A607" s="9"/>
      <c r="B607" s="9"/>
      <c r="C607" s="5"/>
      <c r="D607" s="5"/>
      <c r="E607" s="5"/>
      <c r="F607" s="9"/>
      <c r="G607" s="9"/>
      <c r="H607" s="9"/>
      <c r="I607" s="9"/>
      <c r="J607" s="9"/>
      <c r="K607" s="9"/>
      <c r="L607" s="9"/>
      <c r="M607" s="9"/>
      <c r="N607" s="9"/>
      <c r="O607" s="9"/>
      <c r="P607" s="9"/>
      <c r="Q607" s="9"/>
      <c r="R607" s="9"/>
      <c r="S607" s="9"/>
      <c r="T607" s="9"/>
      <c r="U607" s="9"/>
      <c r="V607" s="9"/>
      <c r="W607" s="9"/>
      <c r="X607" s="9"/>
      <c r="Y607" s="9"/>
      <c r="Z607" s="9"/>
      <c r="AA607" s="9"/>
    </row>
    <row r="608" spans="1:27">
      <c r="A608" s="9"/>
      <c r="B608" s="9"/>
      <c r="C608" s="5"/>
      <c r="D608" s="5"/>
      <c r="E608" s="5"/>
      <c r="F608" s="9"/>
      <c r="G608" s="9"/>
      <c r="H608" s="9"/>
      <c r="I608" s="9"/>
      <c r="J608" s="9"/>
      <c r="K608" s="9"/>
      <c r="L608" s="9"/>
      <c r="M608" s="9"/>
      <c r="N608" s="9"/>
      <c r="O608" s="9"/>
      <c r="P608" s="9"/>
      <c r="Q608" s="9"/>
      <c r="R608" s="9"/>
      <c r="S608" s="9"/>
      <c r="T608" s="9"/>
      <c r="U608" s="9"/>
      <c r="V608" s="9"/>
      <c r="W608" s="9"/>
      <c r="X608" s="9"/>
      <c r="Y608" s="9"/>
      <c r="Z608" s="9"/>
      <c r="AA608" s="9"/>
    </row>
    <row r="609" spans="1:27">
      <c r="A609" s="9"/>
      <c r="B609" s="9"/>
      <c r="C609" s="5"/>
      <c r="D609" s="5"/>
      <c r="E609" s="5"/>
      <c r="F609" s="9"/>
      <c r="G609" s="9"/>
      <c r="H609" s="9"/>
      <c r="I609" s="9"/>
      <c r="J609" s="9"/>
      <c r="K609" s="9"/>
      <c r="L609" s="9"/>
      <c r="M609" s="9"/>
      <c r="N609" s="9"/>
      <c r="O609" s="9"/>
      <c r="P609" s="9"/>
      <c r="Q609" s="9"/>
      <c r="R609" s="9"/>
      <c r="S609" s="9"/>
      <c r="T609" s="9"/>
      <c r="U609" s="9"/>
      <c r="V609" s="9"/>
      <c r="W609" s="9"/>
      <c r="X609" s="9"/>
      <c r="Y609" s="9"/>
      <c r="Z609" s="9"/>
      <c r="AA609" s="9"/>
    </row>
    <row r="610" spans="1:27">
      <c r="A610" s="9"/>
      <c r="B610" s="9"/>
      <c r="C610" s="5"/>
      <c r="D610" s="5"/>
      <c r="E610" s="5"/>
      <c r="F610" s="9"/>
      <c r="G610" s="9"/>
      <c r="H610" s="9"/>
      <c r="I610" s="9"/>
      <c r="J610" s="9"/>
      <c r="K610" s="9"/>
      <c r="L610" s="9"/>
      <c r="M610" s="9"/>
      <c r="N610" s="9"/>
      <c r="O610" s="9"/>
      <c r="P610" s="9"/>
      <c r="Q610" s="9"/>
      <c r="R610" s="9"/>
      <c r="S610" s="9"/>
      <c r="T610" s="9"/>
      <c r="U610" s="9"/>
      <c r="V610" s="9"/>
      <c r="W610" s="9"/>
      <c r="X610" s="9"/>
      <c r="Y610" s="9"/>
      <c r="Z610" s="9"/>
      <c r="AA610" s="9"/>
    </row>
    <row r="611" spans="1:27">
      <c r="A611" s="9"/>
      <c r="B611" s="9"/>
      <c r="C611" s="5"/>
      <c r="D611" s="5"/>
      <c r="E611" s="5"/>
      <c r="F611" s="9"/>
      <c r="G611" s="9"/>
      <c r="H611" s="9"/>
      <c r="I611" s="9"/>
      <c r="J611" s="9"/>
      <c r="K611" s="9"/>
      <c r="L611" s="9"/>
      <c r="M611" s="9"/>
      <c r="N611" s="9"/>
      <c r="O611" s="9"/>
      <c r="P611" s="9"/>
      <c r="Q611" s="9"/>
      <c r="R611" s="9"/>
      <c r="S611" s="9"/>
      <c r="T611" s="9"/>
      <c r="U611" s="9"/>
      <c r="V611" s="9"/>
      <c r="W611" s="9"/>
      <c r="X611" s="9"/>
      <c r="Y611" s="9"/>
      <c r="Z611" s="9"/>
      <c r="AA611" s="9"/>
    </row>
    <row r="612" spans="1:27">
      <c r="A612" s="9"/>
      <c r="B612" s="9"/>
      <c r="C612" s="5"/>
      <c r="D612" s="5"/>
      <c r="E612" s="5"/>
      <c r="F612" s="9"/>
      <c r="G612" s="9"/>
      <c r="H612" s="9"/>
      <c r="I612" s="9"/>
      <c r="J612" s="9"/>
      <c r="K612" s="9"/>
      <c r="L612" s="9"/>
      <c r="M612" s="9"/>
      <c r="N612" s="9"/>
      <c r="O612" s="9"/>
      <c r="P612" s="9"/>
      <c r="Q612" s="9"/>
      <c r="R612" s="9"/>
      <c r="S612" s="9"/>
      <c r="T612" s="9"/>
      <c r="U612" s="9"/>
      <c r="V612" s="9"/>
      <c r="W612" s="9"/>
      <c r="X612" s="9"/>
      <c r="Y612" s="9"/>
      <c r="Z612" s="9"/>
      <c r="AA612" s="9"/>
    </row>
    <row r="613" spans="1:27">
      <c r="A613" s="9"/>
      <c r="B613" s="9"/>
      <c r="C613" s="5"/>
      <c r="D613" s="5"/>
      <c r="E613" s="5"/>
      <c r="F613" s="9"/>
      <c r="G613" s="9"/>
      <c r="H613" s="9"/>
      <c r="I613" s="9"/>
      <c r="J613" s="9"/>
      <c r="K613" s="9"/>
      <c r="L613" s="9"/>
      <c r="M613" s="9"/>
      <c r="N613" s="9"/>
      <c r="O613" s="9"/>
      <c r="P613" s="9"/>
      <c r="Q613" s="9"/>
      <c r="R613" s="9"/>
      <c r="S613" s="9"/>
      <c r="T613" s="9"/>
      <c r="U613" s="9"/>
      <c r="V613" s="9"/>
      <c r="W613" s="9"/>
      <c r="X613" s="9"/>
      <c r="Y613" s="9"/>
      <c r="Z613" s="9"/>
      <c r="AA613" s="9"/>
    </row>
    <row r="614" spans="1:27">
      <c r="A614" s="9"/>
      <c r="B614" s="9"/>
      <c r="C614" s="5"/>
      <c r="D614" s="5"/>
      <c r="E614" s="5"/>
      <c r="F614" s="9"/>
      <c r="G614" s="9"/>
      <c r="H614" s="9"/>
      <c r="I614" s="9"/>
      <c r="J614" s="9"/>
      <c r="K614" s="9"/>
      <c r="L614" s="9"/>
      <c r="M614" s="9"/>
      <c r="N614" s="9"/>
      <c r="O614" s="9"/>
      <c r="P614" s="9"/>
      <c r="Q614" s="9"/>
      <c r="R614" s="9"/>
      <c r="S614" s="9"/>
      <c r="T614" s="9"/>
      <c r="U614" s="9"/>
      <c r="V614" s="9"/>
      <c r="W614" s="9"/>
      <c r="X614" s="9"/>
      <c r="Y614" s="9"/>
      <c r="Z614" s="9"/>
      <c r="AA614" s="9"/>
    </row>
    <row r="615" spans="1:27">
      <c r="A615" s="9"/>
      <c r="B615" s="9"/>
      <c r="C615" s="5"/>
      <c r="D615" s="5"/>
      <c r="E615" s="5"/>
      <c r="F615" s="9"/>
      <c r="G615" s="9"/>
      <c r="H615" s="9"/>
      <c r="I615" s="9"/>
      <c r="J615" s="9"/>
      <c r="K615" s="9"/>
      <c r="L615" s="9"/>
      <c r="M615" s="9"/>
      <c r="N615" s="9"/>
      <c r="O615" s="9"/>
      <c r="P615" s="9"/>
      <c r="Q615" s="9"/>
      <c r="R615" s="9"/>
      <c r="S615" s="9"/>
      <c r="T615" s="9"/>
      <c r="U615" s="9"/>
      <c r="V615" s="9"/>
      <c r="W615" s="9"/>
      <c r="X615" s="9"/>
      <c r="Y615" s="9"/>
      <c r="Z615" s="9"/>
      <c r="AA615" s="9"/>
    </row>
    <row r="616" spans="1:27">
      <c r="A616" s="9"/>
      <c r="B616" s="9"/>
      <c r="C616" s="5"/>
      <c r="D616" s="5"/>
      <c r="E616" s="5"/>
      <c r="F616" s="9"/>
      <c r="G616" s="9"/>
      <c r="H616" s="9"/>
      <c r="I616" s="9"/>
      <c r="J616" s="9"/>
      <c r="K616" s="9"/>
      <c r="L616" s="9"/>
      <c r="M616" s="9"/>
      <c r="N616" s="9"/>
      <c r="O616" s="9"/>
      <c r="P616" s="9"/>
      <c r="Q616" s="9"/>
      <c r="R616" s="9"/>
      <c r="S616" s="9"/>
      <c r="T616" s="9"/>
      <c r="U616" s="9"/>
      <c r="V616" s="9"/>
      <c r="W616" s="9"/>
      <c r="X616" s="9"/>
      <c r="Y616" s="9"/>
      <c r="Z616" s="9"/>
      <c r="AA616" s="9"/>
    </row>
    <row r="617" spans="1:27">
      <c r="A617" s="9"/>
      <c r="B617" s="9"/>
      <c r="C617" s="5"/>
      <c r="D617" s="5"/>
      <c r="E617" s="5"/>
      <c r="F617" s="9"/>
      <c r="G617" s="9"/>
      <c r="H617" s="9"/>
      <c r="I617" s="9"/>
      <c r="J617" s="9"/>
      <c r="K617" s="9"/>
      <c r="L617" s="9"/>
      <c r="M617" s="9"/>
      <c r="N617" s="9"/>
      <c r="O617" s="9"/>
      <c r="P617" s="9"/>
      <c r="Q617" s="9"/>
      <c r="R617" s="9"/>
      <c r="S617" s="9"/>
      <c r="T617" s="9"/>
      <c r="U617" s="9"/>
      <c r="V617" s="9"/>
      <c r="W617" s="9"/>
      <c r="X617" s="9"/>
      <c r="Y617" s="9"/>
      <c r="Z617" s="9"/>
      <c r="AA617" s="9"/>
    </row>
    <row r="618" spans="1:27">
      <c r="A618" s="9"/>
      <c r="B618" s="9"/>
      <c r="C618" s="5"/>
      <c r="D618" s="5"/>
      <c r="E618" s="5"/>
      <c r="F618" s="9"/>
      <c r="G618" s="9"/>
      <c r="H618" s="9"/>
      <c r="I618" s="9"/>
      <c r="J618" s="9"/>
      <c r="K618" s="9"/>
      <c r="L618" s="9"/>
      <c r="M618" s="9"/>
      <c r="N618" s="9"/>
      <c r="O618" s="9"/>
      <c r="P618" s="9"/>
      <c r="Q618" s="9"/>
      <c r="R618" s="9"/>
      <c r="S618" s="9"/>
      <c r="T618" s="9"/>
      <c r="U618" s="9"/>
      <c r="V618" s="9"/>
      <c r="W618" s="9"/>
      <c r="X618" s="9"/>
      <c r="Y618" s="9"/>
      <c r="Z618" s="9"/>
      <c r="AA618" s="9"/>
    </row>
    <row r="619" spans="1:27">
      <c r="A619" s="9"/>
      <c r="B619" s="9"/>
      <c r="C619" s="5"/>
      <c r="D619" s="5"/>
      <c r="E619" s="5"/>
      <c r="F619" s="9"/>
      <c r="G619" s="9"/>
      <c r="H619" s="9"/>
      <c r="I619" s="9"/>
      <c r="J619" s="9"/>
      <c r="K619" s="9"/>
      <c r="L619" s="9"/>
      <c r="M619" s="9"/>
      <c r="N619" s="9"/>
      <c r="O619" s="9"/>
      <c r="P619" s="9"/>
      <c r="Q619" s="9"/>
      <c r="R619" s="9"/>
      <c r="S619" s="9"/>
      <c r="T619" s="9"/>
      <c r="U619" s="9"/>
      <c r="V619" s="9"/>
      <c r="W619" s="9"/>
      <c r="X619" s="9"/>
      <c r="Y619" s="9"/>
      <c r="Z619" s="9"/>
      <c r="AA619" s="9"/>
    </row>
    <row r="620" spans="1:27">
      <c r="A620" s="9"/>
      <c r="B620" s="9"/>
      <c r="C620" s="5"/>
      <c r="D620" s="5"/>
      <c r="E620" s="5"/>
      <c r="F620" s="9"/>
      <c r="G620" s="9"/>
      <c r="H620" s="9"/>
      <c r="I620" s="9"/>
      <c r="J620" s="9"/>
      <c r="K620" s="9"/>
      <c r="L620" s="9"/>
      <c r="M620" s="9"/>
      <c r="N620" s="9"/>
      <c r="O620" s="9"/>
      <c r="P620" s="9"/>
      <c r="Q620" s="9"/>
      <c r="R620" s="9"/>
      <c r="S620" s="9"/>
      <c r="T620" s="9"/>
      <c r="U620" s="9"/>
      <c r="V620" s="9"/>
      <c r="W620" s="9"/>
      <c r="X620" s="9"/>
      <c r="Y620" s="9"/>
      <c r="Z620" s="9"/>
      <c r="AA620" s="9"/>
    </row>
    <row r="621" spans="1:27">
      <c r="A621" s="9"/>
      <c r="B621" s="9"/>
      <c r="C621" s="5"/>
      <c r="D621" s="5"/>
      <c r="E621" s="5"/>
      <c r="F621" s="9"/>
      <c r="G621" s="9"/>
      <c r="H621" s="9"/>
      <c r="I621" s="9"/>
      <c r="J621" s="9"/>
      <c r="K621" s="9"/>
      <c r="L621" s="9"/>
      <c r="M621" s="9"/>
      <c r="N621" s="9"/>
      <c r="O621" s="9"/>
      <c r="P621" s="9"/>
      <c r="Q621" s="9"/>
      <c r="R621" s="9"/>
      <c r="S621" s="9"/>
      <c r="T621" s="9"/>
      <c r="U621" s="9"/>
      <c r="V621" s="9"/>
      <c r="W621" s="9"/>
      <c r="X621" s="9"/>
      <c r="Y621" s="9"/>
      <c r="Z621" s="9"/>
      <c r="AA621" s="9"/>
    </row>
    <row r="622" spans="1:27">
      <c r="A622" s="9"/>
      <c r="B622" s="9"/>
      <c r="C622" s="5"/>
      <c r="D622" s="5"/>
      <c r="E622" s="5"/>
      <c r="F622" s="9"/>
      <c r="G622" s="9"/>
      <c r="H622" s="9"/>
      <c r="I622" s="9"/>
      <c r="J622" s="9"/>
      <c r="K622" s="9"/>
      <c r="L622" s="9"/>
      <c r="M622" s="9"/>
      <c r="N622" s="9"/>
      <c r="O622" s="9"/>
      <c r="P622" s="9"/>
      <c r="Q622" s="9"/>
      <c r="R622" s="9"/>
      <c r="S622" s="9"/>
      <c r="T622" s="9"/>
      <c r="U622" s="9"/>
      <c r="V622" s="9"/>
      <c r="W622" s="9"/>
      <c r="X622" s="9"/>
      <c r="Y622" s="9"/>
      <c r="Z622" s="9"/>
      <c r="AA622" s="9"/>
    </row>
    <row r="623" spans="1:27">
      <c r="A623" s="9"/>
      <c r="B623" s="9"/>
      <c r="C623" s="5"/>
      <c r="D623" s="5"/>
      <c r="E623" s="5"/>
      <c r="F623" s="9"/>
      <c r="G623" s="9"/>
      <c r="H623" s="9"/>
      <c r="I623" s="9"/>
      <c r="J623" s="9"/>
      <c r="K623" s="9"/>
      <c r="L623" s="9"/>
      <c r="M623" s="9"/>
      <c r="N623" s="9"/>
      <c r="O623" s="9"/>
      <c r="P623" s="9"/>
      <c r="Q623" s="9"/>
      <c r="R623" s="9"/>
      <c r="S623" s="9"/>
      <c r="T623" s="9"/>
      <c r="U623" s="9"/>
      <c r="V623" s="9"/>
      <c r="W623" s="9"/>
      <c r="X623" s="9"/>
      <c r="Y623" s="9"/>
      <c r="Z623" s="9"/>
      <c r="AA623" s="9"/>
    </row>
    <row r="624" spans="1:27">
      <c r="A624" s="9"/>
      <c r="B624" s="9"/>
      <c r="C624" s="5"/>
      <c r="D624" s="5"/>
      <c r="E624" s="5"/>
      <c r="F624" s="9"/>
      <c r="G624" s="9"/>
      <c r="H624" s="9"/>
      <c r="I624" s="9"/>
      <c r="J624" s="9"/>
      <c r="K624" s="9"/>
      <c r="L624" s="9"/>
      <c r="M624" s="9"/>
      <c r="N624" s="9"/>
      <c r="O624" s="9"/>
      <c r="P624" s="9"/>
      <c r="Q624" s="9"/>
      <c r="R624" s="9"/>
      <c r="S624" s="9"/>
      <c r="T624" s="9"/>
      <c r="U624" s="9"/>
      <c r="V624" s="9"/>
      <c r="W624" s="9"/>
      <c r="X624" s="9"/>
      <c r="Y624" s="9"/>
      <c r="Z624" s="9"/>
      <c r="AA624" s="9"/>
    </row>
    <row r="625" spans="1:27">
      <c r="A625" s="9"/>
      <c r="B625" s="9"/>
      <c r="C625" s="5"/>
      <c r="D625" s="5"/>
      <c r="E625" s="5"/>
      <c r="F625" s="9"/>
      <c r="G625" s="9"/>
      <c r="H625" s="9"/>
      <c r="I625" s="9"/>
      <c r="J625" s="9"/>
      <c r="K625" s="9"/>
      <c r="L625" s="9"/>
      <c r="M625" s="9"/>
      <c r="N625" s="9"/>
      <c r="O625" s="9"/>
      <c r="P625" s="9"/>
      <c r="Q625" s="9"/>
      <c r="R625" s="9"/>
      <c r="S625" s="9"/>
      <c r="T625" s="9"/>
      <c r="U625" s="9"/>
      <c r="V625" s="9"/>
      <c r="W625" s="9"/>
      <c r="X625" s="9"/>
      <c r="Y625" s="9"/>
      <c r="Z625" s="9"/>
      <c r="AA625" s="9"/>
    </row>
    <row r="626" spans="1:27">
      <c r="A626" s="9"/>
      <c r="B626" s="9"/>
      <c r="C626" s="5"/>
      <c r="D626" s="5"/>
      <c r="E626" s="5"/>
      <c r="F626" s="9"/>
      <c r="G626" s="9"/>
      <c r="H626" s="9"/>
      <c r="I626" s="9"/>
      <c r="J626" s="9"/>
      <c r="K626" s="9"/>
      <c r="L626" s="9"/>
      <c r="M626" s="9"/>
      <c r="N626" s="9"/>
      <c r="O626" s="9"/>
      <c r="P626" s="9"/>
      <c r="Q626" s="9"/>
      <c r="R626" s="9"/>
      <c r="S626" s="9"/>
      <c r="T626" s="9"/>
      <c r="U626" s="9"/>
      <c r="V626" s="9"/>
      <c r="W626" s="9"/>
      <c r="X626" s="9"/>
      <c r="Y626" s="9"/>
      <c r="Z626" s="9"/>
      <c r="AA626" s="9"/>
    </row>
    <row r="627" spans="1:27">
      <c r="A627" s="9"/>
      <c r="B627" s="9"/>
      <c r="C627" s="5"/>
      <c r="D627" s="5"/>
      <c r="E627" s="5"/>
      <c r="F627" s="9"/>
      <c r="G627" s="9"/>
      <c r="H627" s="9"/>
      <c r="I627" s="9"/>
      <c r="J627" s="9"/>
      <c r="K627" s="9"/>
      <c r="L627" s="9"/>
      <c r="M627" s="9"/>
      <c r="N627" s="9"/>
      <c r="O627" s="9"/>
      <c r="P627" s="9"/>
      <c r="Q627" s="9"/>
      <c r="R627" s="9"/>
      <c r="S627" s="9"/>
      <c r="T627" s="9"/>
      <c r="U627" s="9"/>
      <c r="V627" s="9"/>
      <c r="W627" s="9"/>
      <c r="X627" s="9"/>
      <c r="Y627" s="9"/>
      <c r="Z627" s="9"/>
      <c r="AA627" s="9"/>
    </row>
    <row r="628" spans="1:27">
      <c r="A628" s="9"/>
      <c r="B628" s="9"/>
      <c r="C628" s="5"/>
      <c r="D628" s="5"/>
      <c r="E628" s="5"/>
      <c r="F628" s="9"/>
      <c r="G628" s="9"/>
      <c r="H628" s="9"/>
      <c r="I628" s="9"/>
      <c r="J628" s="9"/>
      <c r="K628" s="9"/>
      <c r="L628" s="9"/>
      <c r="M628" s="9"/>
      <c r="N628" s="9"/>
      <c r="O628" s="9"/>
      <c r="P628" s="9"/>
      <c r="Q628" s="9"/>
      <c r="R628" s="9"/>
      <c r="S628" s="9"/>
      <c r="T628" s="9"/>
      <c r="U628" s="9"/>
      <c r="V628" s="9"/>
      <c r="W628" s="9"/>
      <c r="X628" s="9"/>
      <c r="Y628" s="9"/>
      <c r="Z628" s="9"/>
      <c r="AA628" s="9"/>
    </row>
    <row r="629" spans="1:27">
      <c r="A629" s="9"/>
      <c r="B629" s="9"/>
      <c r="C629" s="5"/>
      <c r="D629" s="5"/>
      <c r="E629" s="5"/>
      <c r="F629" s="9"/>
      <c r="G629" s="9"/>
      <c r="H629" s="9"/>
      <c r="I629" s="9"/>
      <c r="J629" s="9"/>
      <c r="K629" s="9"/>
      <c r="L629" s="9"/>
      <c r="M629" s="9"/>
      <c r="N629" s="9"/>
      <c r="O629" s="9"/>
      <c r="P629" s="9"/>
      <c r="Q629" s="9"/>
      <c r="R629" s="9"/>
      <c r="S629" s="9"/>
      <c r="T629" s="9"/>
      <c r="U629" s="9"/>
      <c r="V629" s="9"/>
      <c r="W629" s="9"/>
      <c r="X629" s="9"/>
      <c r="Y629" s="9"/>
      <c r="Z629" s="9"/>
      <c r="AA629" s="9"/>
    </row>
    <row r="630" spans="1:27">
      <c r="A630" s="9"/>
      <c r="B630" s="9"/>
      <c r="C630" s="5"/>
      <c r="D630" s="5"/>
      <c r="E630" s="5"/>
      <c r="F630" s="9"/>
      <c r="G630" s="9"/>
      <c r="H630" s="9"/>
      <c r="I630" s="9"/>
      <c r="J630" s="9"/>
      <c r="K630" s="9"/>
      <c r="L630" s="9"/>
      <c r="M630" s="9"/>
      <c r="N630" s="9"/>
      <c r="O630" s="9"/>
      <c r="P630" s="9"/>
      <c r="Q630" s="9"/>
      <c r="R630" s="9"/>
      <c r="S630" s="9"/>
      <c r="T630" s="9"/>
      <c r="U630" s="9"/>
      <c r="V630" s="9"/>
      <c r="W630" s="9"/>
      <c r="X630" s="9"/>
      <c r="Y630" s="9"/>
      <c r="Z630" s="9"/>
      <c r="AA630" s="9"/>
    </row>
    <row r="631" spans="1:27">
      <c r="A631" s="9"/>
      <c r="B631" s="9"/>
      <c r="C631" s="5"/>
      <c r="D631" s="5"/>
      <c r="E631" s="5"/>
      <c r="F631" s="9"/>
      <c r="G631" s="9"/>
      <c r="H631" s="9"/>
      <c r="I631" s="9"/>
      <c r="J631" s="9"/>
      <c r="K631" s="9"/>
      <c r="L631" s="9"/>
      <c r="M631" s="9"/>
      <c r="N631" s="9"/>
      <c r="O631" s="9"/>
      <c r="P631" s="9"/>
      <c r="Q631" s="9"/>
      <c r="R631" s="9"/>
      <c r="S631" s="9"/>
      <c r="T631" s="9"/>
      <c r="U631" s="9"/>
      <c r="V631" s="9"/>
      <c r="W631" s="9"/>
      <c r="X631" s="9"/>
      <c r="Y631" s="9"/>
      <c r="Z631" s="9"/>
      <c r="AA631" s="9"/>
    </row>
    <row r="632" spans="1:27">
      <c r="A632" s="9"/>
      <c r="B632" s="9"/>
      <c r="C632" s="5"/>
      <c r="D632" s="5"/>
      <c r="E632" s="5"/>
      <c r="F632" s="9"/>
      <c r="G632" s="9"/>
      <c r="H632" s="9"/>
      <c r="I632" s="9"/>
      <c r="J632" s="9"/>
      <c r="K632" s="9"/>
      <c r="L632" s="9"/>
      <c r="M632" s="9"/>
      <c r="N632" s="9"/>
      <c r="O632" s="9"/>
      <c r="P632" s="9"/>
      <c r="Q632" s="9"/>
      <c r="R632" s="9"/>
      <c r="S632" s="9"/>
      <c r="T632" s="9"/>
      <c r="U632" s="9"/>
      <c r="V632" s="9"/>
      <c r="W632" s="9"/>
      <c r="X632" s="9"/>
      <c r="Y632" s="9"/>
      <c r="Z632" s="9"/>
      <c r="AA632" s="9"/>
    </row>
    <row r="633" spans="1:27">
      <c r="A633" s="9"/>
      <c r="B633" s="9"/>
      <c r="C633" s="5"/>
      <c r="D633" s="5"/>
      <c r="E633" s="5"/>
      <c r="F633" s="9"/>
      <c r="G633" s="9"/>
      <c r="H633" s="9"/>
      <c r="I633" s="9"/>
      <c r="J633" s="9"/>
      <c r="K633" s="9"/>
      <c r="L633" s="9"/>
      <c r="M633" s="9"/>
      <c r="N633" s="9"/>
      <c r="O633" s="9"/>
      <c r="P633" s="9"/>
      <c r="Q633" s="9"/>
      <c r="R633" s="9"/>
      <c r="S633" s="9"/>
      <c r="T633" s="9"/>
      <c r="U633" s="9"/>
      <c r="V633" s="9"/>
      <c r="W633" s="9"/>
      <c r="X633" s="9"/>
      <c r="Y633" s="9"/>
      <c r="Z633" s="9"/>
      <c r="AA633" s="9"/>
    </row>
    <row r="634" spans="1:27">
      <c r="A634" s="9"/>
      <c r="B634" s="9"/>
      <c r="C634" s="5"/>
      <c r="D634" s="5"/>
      <c r="E634" s="5"/>
      <c r="F634" s="9"/>
      <c r="G634" s="9"/>
      <c r="H634" s="9"/>
      <c r="I634" s="9"/>
      <c r="J634" s="9"/>
      <c r="K634" s="9"/>
      <c r="L634" s="9"/>
      <c r="M634" s="9"/>
      <c r="N634" s="9"/>
      <c r="O634" s="9"/>
      <c r="P634" s="9"/>
      <c r="Q634" s="9"/>
      <c r="R634" s="9"/>
      <c r="S634" s="9"/>
      <c r="T634" s="9"/>
      <c r="U634" s="9"/>
      <c r="V634" s="9"/>
      <c r="W634" s="9"/>
      <c r="X634" s="9"/>
      <c r="Y634" s="9"/>
      <c r="Z634" s="9"/>
      <c r="AA634" s="9"/>
    </row>
    <row r="635" spans="1:27">
      <c r="A635" s="9"/>
      <c r="B635" s="9"/>
      <c r="C635" s="5"/>
      <c r="D635" s="5"/>
      <c r="E635" s="5"/>
      <c r="F635" s="9"/>
      <c r="G635" s="9"/>
      <c r="H635" s="9"/>
      <c r="I635" s="9"/>
      <c r="J635" s="9"/>
      <c r="K635" s="9"/>
      <c r="L635" s="9"/>
      <c r="M635" s="9"/>
      <c r="N635" s="9"/>
      <c r="O635" s="9"/>
      <c r="P635" s="9"/>
      <c r="Q635" s="9"/>
      <c r="R635" s="9"/>
      <c r="S635" s="9"/>
      <c r="T635" s="9"/>
      <c r="U635" s="9"/>
      <c r="V635" s="9"/>
      <c r="W635" s="9"/>
      <c r="X635" s="9"/>
      <c r="Y635" s="9"/>
      <c r="Z635" s="9"/>
      <c r="AA635" s="9"/>
    </row>
    <row r="636" spans="1:27">
      <c r="A636" s="9"/>
      <c r="B636" s="9"/>
      <c r="C636" s="5"/>
      <c r="D636" s="5"/>
      <c r="E636" s="5"/>
      <c r="F636" s="9"/>
      <c r="G636" s="9"/>
      <c r="H636" s="9"/>
      <c r="I636" s="9"/>
      <c r="J636" s="9"/>
      <c r="K636" s="9"/>
      <c r="L636" s="9"/>
      <c r="M636" s="9"/>
      <c r="N636" s="9"/>
      <c r="O636" s="9"/>
      <c r="P636" s="9"/>
      <c r="Q636" s="9"/>
      <c r="R636" s="9"/>
      <c r="S636" s="9"/>
      <c r="T636" s="9"/>
      <c r="U636" s="9"/>
      <c r="V636" s="9"/>
      <c r="W636" s="9"/>
      <c r="X636" s="9"/>
      <c r="Y636" s="9"/>
      <c r="Z636" s="9"/>
      <c r="AA636" s="9"/>
    </row>
    <row r="637" spans="1:27">
      <c r="A637" s="9"/>
      <c r="B637" s="9"/>
      <c r="C637" s="5"/>
      <c r="D637" s="5"/>
      <c r="E637" s="5"/>
      <c r="F637" s="9"/>
      <c r="G637" s="9"/>
      <c r="H637" s="9"/>
      <c r="I637" s="9"/>
      <c r="J637" s="9"/>
      <c r="K637" s="9"/>
      <c r="L637" s="9"/>
      <c r="M637" s="9"/>
      <c r="N637" s="9"/>
      <c r="O637" s="9"/>
      <c r="P637" s="9"/>
      <c r="Q637" s="9"/>
      <c r="R637" s="9"/>
      <c r="S637" s="9"/>
      <c r="T637" s="9"/>
      <c r="U637" s="9"/>
      <c r="V637" s="9"/>
      <c r="W637" s="9"/>
      <c r="X637" s="9"/>
      <c r="Y637" s="9"/>
      <c r="Z637" s="9"/>
      <c r="AA637" s="9"/>
    </row>
    <row r="638" spans="1:27">
      <c r="A638" s="9"/>
      <c r="B638" s="9"/>
      <c r="C638" s="5"/>
      <c r="D638" s="5"/>
      <c r="E638" s="5"/>
      <c r="F638" s="9"/>
      <c r="G638" s="9"/>
      <c r="H638" s="9"/>
      <c r="I638" s="9"/>
      <c r="J638" s="9"/>
      <c r="K638" s="9"/>
      <c r="L638" s="9"/>
      <c r="M638" s="9"/>
      <c r="N638" s="9"/>
      <c r="O638" s="9"/>
      <c r="P638" s="9"/>
      <c r="Q638" s="9"/>
      <c r="R638" s="9"/>
      <c r="S638" s="9"/>
      <c r="T638" s="9"/>
      <c r="U638" s="9"/>
      <c r="V638" s="9"/>
      <c r="W638" s="9"/>
      <c r="X638" s="9"/>
      <c r="Y638" s="9"/>
      <c r="Z638" s="9"/>
      <c r="AA638" s="9"/>
    </row>
    <row r="639" spans="1:27">
      <c r="A639" s="9"/>
      <c r="B639" s="9"/>
      <c r="C639" s="5"/>
      <c r="D639" s="5"/>
      <c r="E639" s="5"/>
      <c r="F639" s="9"/>
      <c r="G639" s="9"/>
      <c r="H639" s="9"/>
      <c r="I639" s="9"/>
      <c r="J639" s="9"/>
      <c r="K639" s="9"/>
      <c r="L639" s="9"/>
      <c r="M639" s="9"/>
      <c r="N639" s="9"/>
      <c r="O639" s="9"/>
      <c r="P639" s="9"/>
      <c r="Q639" s="9"/>
      <c r="R639" s="9"/>
      <c r="S639" s="9"/>
      <c r="T639" s="9"/>
      <c r="U639" s="9"/>
      <c r="V639" s="9"/>
      <c r="W639" s="9"/>
      <c r="X639" s="9"/>
      <c r="Y639" s="9"/>
      <c r="Z639" s="9"/>
      <c r="AA639" s="9"/>
    </row>
    <row r="640" spans="1:27">
      <c r="A640" s="9"/>
      <c r="B640" s="9"/>
      <c r="C640" s="5"/>
      <c r="D640" s="5"/>
      <c r="E640" s="5"/>
      <c r="F640" s="9"/>
      <c r="G640" s="9"/>
      <c r="H640" s="9"/>
      <c r="I640" s="9"/>
      <c r="J640" s="9"/>
      <c r="K640" s="9"/>
      <c r="L640" s="9"/>
      <c r="M640" s="9"/>
      <c r="N640" s="9"/>
      <c r="O640" s="9"/>
      <c r="P640" s="9"/>
      <c r="Q640" s="9"/>
      <c r="R640" s="9"/>
      <c r="S640" s="9"/>
      <c r="T640" s="9"/>
      <c r="U640" s="9"/>
      <c r="V640" s="9"/>
      <c r="W640" s="9"/>
      <c r="X640" s="9"/>
      <c r="Y640" s="9"/>
      <c r="Z640" s="9"/>
      <c r="AA640" s="9"/>
    </row>
    <row r="641" spans="1:27">
      <c r="A641" s="9"/>
      <c r="B641" s="9"/>
      <c r="C641" s="5"/>
      <c r="D641" s="5"/>
      <c r="E641" s="5"/>
      <c r="F641" s="9"/>
      <c r="G641" s="9"/>
      <c r="H641" s="9"/>
      <c r="I641" s="9"/>
      <c r="J641" s="9"/>
      <c r="K641" s="9"/>
      <c r="L641" s="9"/>
      <c r="M641" s="9"/>
      <c r="N641" s="9"/>
      <c r="O641" s="9"/>
      <c r="P641" s="9"/>
      <c r="Q641" s="9"/>
      <c r="R641" s="9"/>
      <c r="S641" s="9"/>
      <c r="T641" s="9"/>
      <c r="U641" s="9"/>
      <c r="V641" s="9"/>
      <c r="W641" s="9"/>
      <c r="X641" s="9"/>
      <c r="Y641" s="9"/>
      <c r="Z641" s="9"/>
      <c r="AA641" s="9"/>
    </row>
    <row r="642" spans="1:27">
      <c r="A642" s="9"/>
      <c r="B642" s="9"/>
      <c r="C642" s="5"/>
      <c r="D642" s="5"/>
      <c r="E642" s="5"/>
      <c r="F642" s="9"/>
      <c r="G642" s="9"/>
      <c r="H642" s="9"/>
      <c r="I642" s="9"/>
      <c r="J642" s="9"/>
      <c r="K642" s="9"/>
      <c r="L642" s="9"/>
      <c r="M642" s="9"/>
      <c r="N642" s="9"/>
      <c r="O642" s="9"/>
      <c r="P642" s="9"/>
      <c r="Q642" s="9"/>
      <c r="R642" s="9"/>
      <c r="S642" s="9"/>
      <c r="T642" s="9"/>
      <c r="U642" s="9"/>
      <c r="V642" s="9"/>
      <c r="W642" s="9"/>
      <c r="X642" s="9"/>
      <c r="Y642" s="9"/>
      <c r="Z642" s="9"/>
      <c r="AA642" s="9"/>
    </row>
    <row r="643" spans="1:27">
      <c r="A643" s="9"/>
      <c r="B643" s="9"/>
      <c r="C643" s="5"/>
      <c r="D643" s="5"/>
      <c r="E643" s="5"/>
      <c r="F643" s="9"/>
      <c r="G643" s="9"/>
      <c r="H643" s="9"/>
      <c r="I643" s="9"/>
      <c r="J643" s="9"/>
      <c r="K643" s="9"/>
      <c r="L643" s="9"/>
      <c r="M643" s="9"/>
      <c r="N643" s="9"/>
      <c r="O643" s="9"/>
      <c r="P643" s="9"/>
      <c r="Q643" s="9"/>
      <c r="R643" s="9"/>
      <c r="S643" s="9"/>
      <c r="T643" s="9"/>
      <c r="U643" s="9"/>
      <c r="V643" s="9"/>
      <c r="W643" s="9"/>
      <c r="X643" s="9"/>
      <c r="Y643" s="9"/>
      <c r="Z643" s="9"/>
      <c r="AA643" s="9"/>
    </row>
    <row r="644" spans="1:27">
      <c r="A644" s="9"/>
      <c r="B644" s="9"/>
      <c r="C644" s="5"/>
      <c r="D644" s="5"/>
      <c r="E644" s="5"/>
      <c r="F644" s="9"/>
      <c r="G644" s="9"/>
      <c r="H644" s="9"/>
      <c r="I644" s="9"/>
      <c r="J644" s="9"/>
      <c r="K644" s="9"/>
      <c r="L644" s="9"/>
      <c r="M644" s="9"/>
      <c r="N644" s="9"/>
      <c r="O644" s="9"/>
      <c r="P644" s="9"/>
      <c r="Q644" s="9"/>
      <c r="R644" s="9"/>
      <c r="S644" s="9"/>
      <c r="T644" s="9"/>
      <c r="U644" s="9"/>
      <c r="V644" s="9"/>
      <c r="W644" s="9"/>
      <c r="X644" s="9"/>
      <c r="Y644" s="9"/>
      <c r="Z644" s="9"/>
      <c r="AA644" s="9"/>
    </row>
    <row r="645" spans="1:27">
      <c r="A645" s="9"/>
      <c r="B645" s="9"/>
      <c r="C645" s="5"/>
      <c r="D645" s="5"/>
      <c r="E645" s="5"/>
      <c r="F645" s="9"/>
      <c r="G645" s="9"/>
      <c r="H645" s="9"/>
      <c r="I645" s="9"/>
      <c r="J645" s="9"/>
      <c r="K645" s="9"/>
      <c r="L645" s="9"/>
      <c r="M645" s="9"/>
      <c r="N645" s="9"/>
      <c r="O645" s="9"/>
      <c r="P645" s="9"/>
      <c r="Q645" s="9"/>
      <c r="R645" s="9"/>
      <c r="S645" s="9"/>
      <c r="T645" s="9"/>
      <c r="U645" s="9"/>
      <c r="V645" s="9"/>
      <c r="W645" s="9"/>
      <c r="X645" s="9"/>
      <c r="Y645" s="9"/>
      <c r="Z645" s="9"/>
      <c r="AA645" s="9"/>
    </row>
    <row r="646" spans="1:27">
      <c r="A646" s="9"/>
      <c r="B646" s="9"/>
      <c r="C646" s="5"/>
      <c r="D646" s="5"/>
      <c r="E646" s="5"/>
      <c r="F646" s="9"/>
      <c r="G646" s="9"/>
      <c r="H646" s="9"/>
      <c r="I646" s="9"/>
      <c r="J646" s="9"/>
      <c r="K646" s="9"/>
      <c r="L646" s="9"/>
      <c r="M646" s="9"/>
      <c r="N646" s="9"/>
      <c r="O646" s="9"/>
      <c r="P646" s="9"/>
      <c r="Q646" s="9"/>
      <c r="R646" s="9"/>
      <c r="S646" s="9"/>
      <c r="T646" s="9"/>
      <c r="U646" s="9"/>
      <c r="V646" s="9"/>
      <c r="W646" s="9"/>
      <c r="X646" s="9"/>
      <c r="Y646" s="9"/>
      <c r="Z646" s="9"/>
      <c r="AA646" s="9"/>
    </row>
    <row r="647" spans="1:27">
      <c r="A647" s="9"/>
      <c r="B647" s="9"/>
      <c r="C647" s="5"/>
      <c r="D647" s="5"/>
      <c r="E647" s="5"/>
      <c r="F647" s="9"/>
      <c r="G647" s="9"/>
      <c r="H647" s="9"/>
      <c r="I647" s="9"/>
      <c r="J647" s="9"/>
      <c r="K647" s="9"/>
      <c r="L647" s="9"/>
      <c r="M647" s="9"/>
      <c r="N647" s="9"/>
      <c r="O647" s="9"/>
      <c r="P647" s="9"/>
      <c r="Q647" s="9"/>
      <c r="R647" s="9"/>
      <c r="S647" s="9"/>
      <c r="T647" s="9"/>
      <c r="U647" s="9"/>
      <c r="V647" s="9"/>
      <c r="W647" s="9"/>
      <c r="X647" s="9"/>
      <c r="Y647" s="9"/>
      <c r="Z647" s="9"/>
      <c r="AA647" s="9"/>
    </row>
    <row r="648" spans="1:27">
      <c r="A648" s="9"/>
      <c r="B648" s="9"/>
      <c r="C648" s="5"/>
      <c r="D648" s="5"/>
      <c r="E648" s="5"/>
      <c r="F648" s="9"/>
      <c r="G648" s="9"/>
      <c r="H648" s="9"/>
      <c r="I648" s="9"/>
      <c r="J648" s="9"/>
      <c r="K648" s="9"/>
      <c r="L648" s="9"/>
      <c r="M648" s="9"/>
      <c r="N648" s="9"/>
      <c r="O648" s="9"/>
      <c r="P648" s="9"/>
      <c r="Q648" s="9"/>
      <c r="R648" s="9"/>
      <c r="S648" s="9"/>
      <c r="T648" s="9"/>
      <c r="U648" s="9"/>
      <c r="V648" s="9"/>
      <c r="W648" s="9"/>
      <c r="X648" s="9"/>
      <c r="Y648" s="9"/>
      <c r="Z648" s="9"/>
      <c r="AA648" s="9"/>
    </row>
    <row r="649" spans="1:27">
      <c r="A649" s="9"/>
      <c r="B649" s="9"/>
      <c r="C649" s="5"/>
      <c r="D649" s="5"/>
      <c r="E649" s="5"/>
      <c r="F649" s="9"/>
      <c r="G649" s="9"/>
      <c r="H649" s="9"/>
      <c r="I649" s="9"/>
      <c r="J649" s="9"/>
      <c r="K649" s="9"/>
      <c r="L649" s="9"/>
      <c r="M649" s="9"/>
      <c r="N649" s="9"/>
      <c r="O649" s="9"/>
      <c r="P649" s="9"/>
      <c r="Q649" s="9"/>
      <c r="R649" s="9"/>
      <c r="S649" s="9"/>
      <c r="T649" s="9"/>
      <c r="U649" s="9"/>
      <c r="V649" s="9"/>
      <c r="W649" s="9"/>
      <c r="X649" s="9"/>
      <c r="Y649" s="9"/>
      <c r="Z649" s="9"/>
      <c r="AA649" s="9"/>
    </row>
    <row r="650" spans="1:27">
      <c r="A650" s="9"/>
      <c r="B650" s="9"/>
      <c r="C650" s="5"/>
      <c r="D650" s="5"/>
      <c r="E650" s="5"/>
      <c r="F650" s="9"/>
      <c r="G650" s="9"/>
      <c r="H650" s="9"/>
      <c r="I650" s="9"/>
      <c r="J650" s="9"/>
      <c r="K650" s="9"/>
      <c r="L650" s="9"/>
      <c r="M650" s="9"/>
      <c r="N650" s="9"/>
      <c r="O650" s="9"/>
      <c r="P650" s="9"/>
      <c r="Q650" s="9"/>
      <c r="R650" s="9"/>
      <c r="S650" s="9"/>
      <c r="T650" s="9"/>
      <c r="U650" s="9"/>
      <c r="V650" s="9"/>
      <c r="W650" s="9"/>
      <c r="X650" s="9"/>
      <c r="Y650" s="9"/>
      <c r="Z650" s="9"/>
      <c r="AA650" s="9"/>
    </row>
    <row r="651" spans="1:27">
      <c r="A651" s="9"/>
      <c r="B651" s="9"/>
      <c r="C651" s="5"/>
      <c r="D651" s="5"/>
      <c r="E651" s="5"/>
      <c r="F651" s="9"/>
      <c r="G651" s="9"/>
      <c r="H651" s="9"/>
      <c r="I651" s="9"/>
      <c r="J651" s="9"/>
      <c r="K651" s="9"/>
      <c r="L651" s="9"/>
      <c r="M651" s="9"/>
      <c r="N651" s="9"/>
      <c r="O651" s="9"/>
      <c r="P651" s="9"/>
      <c r="Q651" s="9"/>
      <c r="R651" s="9"/>
      <c r="S651" s="9"/>
      <c r="T651" s="9"/>
      <c r="U651" s="9"/>
      <c r="V651" s="9"/>
      <c r="W651" s="9"/>
      <c r="X651" s="9"/>
      <c r="Y651" s="9"/>
      <c r="Z651" s="9"/>
      <c r="AA651" s="9"/>
    </row>
    <row r="652" spans="1:27">
      <c r="A652" s="9"/>
      <c r="B652" s="9"/>
      <c r="C652" s="5"/>
      <c r="D652" s="5"/>
      <c r="E652" s="5"/>
      <c r="F652" s="9"/>
      <c r="G652" s="9"/>
      <c r="H652" s="9"/>
      <c r="I652" s="9"/>
      <c r="J652" s="9"/>
      <c r="K652" s="9"/>
      <c r="L652" s="9"/>
      <c r="M652" s="9"/>
      <c r="N652" s="9"/>
      <c r="O652" s="9"/>
      <c r="P652" s="9"/>
      <c r="Q652" s="9"/>
      <c r="R652" s="9"/>
      <c r="S652" s="9"/>
      <c r="T652" s="9"/>
      <c r="U652" s="9"/>
      <c r="V652" s="9"/>
      <c r="W652" s="9"/>
      <c r="X652" s="9"/>
      <c r="Y652" s="9"/>
      <c r="Z652" s="9"/>
      <c r="AA652" s="9"/>
    </row>
    <row r="653" spans="1:27">
      <c r="A653" s="9"/>
      <c r="B653" s="9"/>
      <c r="C653" s="5"/>
      <c r="D653" s="5"/>
      <c r="E653" s="5"/>
      <c r="F653" s="9"/>
      <c r="G653" s="9"/>
      <c r="H653" s="9"/>
      <c r="I653" s="9"/>
      <c r="J653" s="9"/>
      <c r="K653" s="9"/>
      <c r="L653" s="9"/>
      <c r="M653" s="9"/>
      <c r="N653" s="9"/>
      <c r="O653" s="9"/>
      <c r="P653" s="9"/>
      <c r="Q653" s="9"/>
      <c r="R653" s="9"/>
      <c r="S653" s="9"/>
      <c r="T653" s="9"/>
      <c r="U653" s="9"/>
      <c r="V653" s="9"/>
      <c r="W653" s="9"/>
      <c r="X653" s="9"/>
      <c r="Y653" s="9"/>
      <c r="Z653" s="9"/>
      <c r="AA653" s="9"/>
    </row>
    <row r="654" spans="1:27">
      <c r="A654" s="9"/>
      <c r="B654" s="9"/>
      <c r="C654" s="5"/>
      <c r="D654" s="5"/>
      <c r="E654" s="5"/>
      <c r="F654" s="9"/>
      <c r="G654" s="9"/>
      <c r="H654" s="9"/>
      <c r="I654" s="9"/>
      <c r="J654" s="9"/>
      <c r="K654" s="9"/>
      <c r="L654" s="9"/>
      <c r="M654" s="9"/>
      <c r="N654" s="9"/>
      <c r="O654" s="9"/>
      <c r="P654" s="9"/>
      <c r="Q654" s="9"/>
      <c r="R654" s="9"/>
      <c r="S654" s="9"/>
      <c r="T654" s="9"/>
      <c r="U654" s="9"/>
      <c r="V654" s="9"/>
      <c r="W654" s="9"/>
      <c r="X654" s="9"/>
      <c r="Y654" s="9"/>
      <c r="Z654" s="9"/>
      <c r="AA654" s="9"/>
    </row>
    <row r="655" spans="1:27">
      <c r="A655" s="9"/>
      <c r="B655" s="9"/>
      <c r="C655" s="5"/>
      <c r="D655" s="5"/>
      <c r="E655" s="5"/>
      <c r="F655" s="9"/>
      <c r="G655" s="9"/>
      <c r="H655" s="9"/>
      <c r="I655" s="9"/>
      <c r="J655" s="9"/>
      <c r="K655" s="9"/>
      <c r="L655" s="9"/>
      <c r="M655" s="9"/>
      <c r="N655" s="9"/>
      <c r="O655" s="9"/>
      <c r="P655" s="9"/>
      <c r="Q655" s="9"/>
      <c r="R655" s="9"/>
      <c r="S655" s="9"/>
      <c r="T655" s="9"/>
      <c r="U655" s="9"/>
      <c r="V655" s="9"/>
      <c r="W655" s="9"/>
      <c r="X655" s="9"/>
      <c r="Y655" s="9"/>
      <c r="Z655" s="9"/>
      <c r="AA655" s="9"/>
    </row>
    <row r="656" spans="1:27">
      <c r="A656" s="9"/>
      <c r="B656" s="9"/>
      <c r="C656" s="5"/>
      <c r="D656" s="5"/>
      <c r="E656" s="5"/>
      <c r="F656" s="9"/>
      <c r="G656" s="9"/>
      <c r="H656" s="9"/>
      <c r="I656" s="9"/>
      <c r="J656" s="9"/>
      <c r="K656" s="9"/>
      <c r="L656" s="9"/>
      <c r="M656" s="9"/>
      <c r="N656" s="9"/>
      <c r="O656" s="9"/>
      <c r="P656" s="9"/>
      <c r="Q656" s="9"/>
      <c r="R656" s="9"/>
      <c r="S656" s="9"/>
      <c r="T656" s="9"/>
      <c r="U656" s="9"/>
      <c r="V656" s="9"/>
      <c r="W656" s="9"/>
      <c r="X656" s="9"/>
      <c r="Y656" s="9"/>
      <c r="Z656" s="9"/>
      <c r="AA656" s="9"/>
    </row>
    <row r="657" spans="1:27">
      <c r="A657" s="9"/>
      <c r="B657" s="9"/>
      <c r="C657" s="5"/>
      <c r="D657" s="5"/>
      <c r="E657" s="5"/>
      <c r="F657" s="9"/>
      <c r="G657" s="9"/>
      <c r="H657" s="9"/>
      <c r="I657" s="9"/>
      <c r="J657" s="9"/>
      <c r="K657" s="9"/>
      <c r="L657" s="9"/>
      <c r="M657" s="9"/>
      <c r="N657" s="9"/>
      <c r="O657" s="9"/>
      <c r="P657" s="9"/>
      <c r="Q657" s="9"/>
      <c r="R657" s="9"/>
      <c r="S657" s="9"/>
      <c r="T657" s="9"/>
      <c r="U657" s="9"/>
      <c r="V657" s="9"/>
      <c r="W657" s="9"/>
      <c r="X657" s="9"/>
      <c r="Y657" s="9"/>
      <c r="Z657" s="9"/>
      <c r="AA657" s="9"/>
    </row>
    <row r="658" spans="1:27">
      <c r="A658" s="9"/>
      <c r="B658" s="9"/>
      <c r="C658" s="5"/>
      <c r="D658" s="5"/>
      <c r="E658" s="5"/>
      <c r="F658" s="9"/>
      <c r="G658" s="9"/>
      <c r="H658" s="9"/>
      <c r="I658" s="9"/>
      <c r="J658" s="9"/>
      <c r="K658" s="9"/>
      <c r="L658" s="9"/>
      <c r="M658" s="9"/>
      <c r="N658" s="9"/>
      <c r="O658" s="9"/>
      <c r="P658" s="9"/>
      <c r="Q658" s="9"/>
      <c r="R658" s="9"/>
      <c r="S658" s="9"/>
      <c r="T658" s="9"/>
      <c r="U658" s="9"/>
      <c r="V658" s="9"/>
      <c r="W658" s="9"/>
      <c r="X658" s="9"/>
      <c r="Y658" s="9"/>
      <c r="Z658" s="9"/>
      <c r="AA658" s="9"/>
    </row>
    <row r="659" spans="1:27">
      <c r="A659" s="9"/>
      <c r="B659" s="9"/>
      <c r="C659" s="5"/>
      <c r="D659" s="5"/>
      <c r="E659" s="5"/>
      <c r="F659" s="9"/>
      <c r="G659" s="9"/>
      <c r="H659" s="9"/>
      <c r="I659" s="9"/>
      <c r="J659" s="9"/>
      <c r="K659" s="9"/>
      <c r="L659" s="9"/>
      <c r="M659" s="9"/>
      <c r="N659" s="9"/>
      <c r="O659" s="9"/>
      <c r="P659" s="9"/>
      <c r="Q659" s="9"/>
      <c r="R659" s="9"/>
      <c r="S659" s="9"/>
      <c r="T659" s="9"/>
      <c r="U659" s="9"/>
      <c r="V659" s="9"/>
      <c r="W659" s="9"/>
      <c r="X659" s="9"/>
      <c r="Y659" s="9"/>
      <c r="Z659" s="9"/>
      <c r="AA659" s="9"/>
    </row>
    <row r="660" spans="1:27">
      <c r="A660" s="9"/>
      <c r="B660" s="9"/>
      <c r="C660" s="5"/>
      <c r="D660" s="5"/>
      <c r="E660" s="5"/>
      <c r="F660" s="9"/>
      <c r="G660" s="9"/>
      <c r="H660" s="9"/>
      <c r="I660" s="9"/>
      <c r="J660" s="9"/>
      <c r="K660" s="9"/>
      <c r="L660" s="9"/>
      <c r="M660" s="9"/>
      <c r="N660" s="9"/>
      <c r="O660" s="9"/>
      <c r="P660" s="9"/>
      <c r="Q660" s="9"/>
      <c r="R660" s="9"/>
      <c r="S660" s="9"/>
      <c r="T660" s="9"/>
      <c r="U660" s="9"/>
      <c r="V660" s="9"/>
      <c r="W660" s="9"/>
      <c r="X660" s="9"/>
      <c r="Y660" s="9"/>
      <c r="Z660" s="9"/>
      <c r="AA660" s="9"/>
    </row>
    <row r="661" spans="1:27">
      <c r="A661" s="9"/>
      <c r="B661" s="9"/>
      <c r="C661" s="5"/>
      <c r="D661" s="5"/>
      <c r="E661" s="5"/>
      <c r="F661" s="9"/>
      <c r="G661" s="9"/>
      <c r="H661" s="9"/>
      <c r="I661" s="9"/>
      <c r="J661" s="9"/>
      <c r="K661" s="9"/>
      <c r="L661" s="9"/>
      <c r="M661" s="9"/>
      <c r="N661" s="9"/>
      <c r="O661" s="9"/>
      <c r="P661" s="9"/>
      <c r="Q661" s="9"/>
      <c r="R661" s="9"/>
      <c r="S661" s="9"/>
      <c r="T661" s="9"/>
      <c r="U661" s="9"/>
      <c r="V661" s="9"/>
      <c r="W661" s="9"/>
      <c r="X661" s="9"/>
      <c r="Y661" s="9"/>
      <c r="Z661" s="9"/>
      <c r="AA661" s="9"/>
    </row>
    <row r="662" spans="1:27">
      <c r="A662" s="9"/>
      <c r="B662" s="9"/>
      <c r="C662" s="5"/>
      <c r="D662" s="5"/>
      <c r="E662" s="5"/>
      <c r="F662" s="9"/>
      <c r="G662" s="9"/>
      <c r="H662" s="9"/>
      <c r="I662" s="9"/>
      <c r="J662" s="9"/>
      <c r="K662" s="9"/>
      <c r="L662" s="9"/>
      <c r="M662" s="9"/>
      <c r="N662" s="9"/>
      <c r="O662" s="9"/>
      <c r="P662" s="9"/>
      <c r="Q662" s="9"/>
      <c r="R662" s="9"/>
      <c r="S662" s="9"/>
      <c r="T662" s="9"/>
      <c r="U662" s="9"/>
      <c r="V662" s="9"/>
      <c r="W662" s="9"/>
      <c r="X662" s="9"/>
      <c r="Y662" s="9"/>
      <c r="Z662" s="9"/>
      <c r="AA662" s="9"/>
    </row>
    <row r="663" spans="1:27">
      <c r="A663" s="9"/>
      <c r="B663" s="9"/>
      <c r="C663" s="5"/>
      <c r="D663" s="5"/>
      <c r="E663" s="5"/>
      <c r="F663" s="9"/>
      <c r="G663" s="9"/>
      <c r="H663" s="9"/>
      <c r="I663" s="9"/>
      <c r="J663" s="9"/>
      <c r="K663" s="9"/>
      <c r="L663" s="9"/>
      <c r="M663" s="9"/>
      <c r="N663" s="9"/>
      <c r="O663" s="9"/>
      <c r="P663" s="9"/>
      <c r="Q663" s="9"/>
      <c r="R663" s="9"/>
      <c r="S663" s="9"/>
      <c r="T663" s="9"/>
      <c r="U663" s="9"/>
      <c r="V663" s="9"/>
      <c r="W663" s="9"/>
      <c r="X663" s="9"/>
      <c r="Y663" s="9"/>
      <c r="Z663" s="9"/>
      <c r="AA663" s="9"/>
    </row>
    <row r="664" spans="1:27">
      <c r="A664" s="9"/>
      <c r="B664" s="9"/>
      <c r="C664" s="5"/>
      <c r="D664" s="5"/>
      <c r="E664" s="5"/>
      <c r="F664" s="9"/>
      <c r="G664" s="9"/>
      <c r="H664" s="9"/>
      <c r="I664" s="9"/>
      <c r="J664" s="9"/>
      <c r="K664" s="9"/>
      <c r="L664" s="9"/>
      <c r="M664" s="9"/>
      <c r="N664" s="9"/>
      <c r="O664" s="9"/>
      <c r="P664" s="9"/>
      <c r="Q664" s="9"/>
      <c r="R664" s="9"/>
      <c r="S664" s="9"/>
      <c r="T664" s="9"/>
      <c r="U664" s="9"/>
      <c r="V664" s="9"/>
      <c r="W664" s="9"/>
      <c r="X664" s="9"/>
      <c r="Y664" s="9"/>
      <c r="Z664" s="9"/>
      <c r="AA664" s="9"/>
    </row>
    <row r="665" spans="1:27">
      <c r="A665" s="9"/>
      <c r="B665" s="9"/>
      <c r="C665" s="5"/>
      <c r="D665" s="5"/>
      <c r="E665" s="5"/>
      <c r="F665" s="9"/>
      <c r="G665" s="9"/>
      <c r="H665" s="9"/>
      <c r="I665" s="9"/>
      <c r="J665" s="9"/>
      <c r="K665" s="9"/>
      <c r="L665" s="9"/>
      <c r="M665" s="9"/>
      <c r="N665" s="9"/>
      <c r="O665" s="9"/>
      <c r="P665" s="9"/>
      <c r="Q665" s="9"/>
      <c r="R665" s="9"/>
      <c r="S665" s="9"/>
      <c r="T665" s="9"/>
      <c r="U665" s="9"/>
      <c r="V665" s="9"/>
      <c r="W665" s="9"/>
      <c r="X665" s="9"/>
      <c r="Y665" s="9"/>
      <c r="Z665" s="9"/>
      <c r="AA665" s="9"/>
    </row>
    <row r="666" spans="1:27">
      <c r="A666" s="9"/>
      <c r="B666" s="9"/>
      <c r="C666" s="5"/>
      <c r="D666" s="5"/>
      <c r="E666" s="5"/>
      <c r="F666" s="9"/>
      <c r="G666" s="9"/>
      <c r="H666" s="9"/>
      <c r="I666" s="9"/>
      <c r="J666" s="9"/>
      <c r="K666" s="9"/>
      <c r="L666" s="9"/>
      <c r="M666" s="9"/>
      <c r="N666" s="9"/>
      <c r="O666" s="9"/>
      <c r="P666" s="9"/>
      <c r="Q666" s="9"/>
      <c r="R666" s="9"/>
      <c r="S666" s="9"/>
      <c r="T666" s="9"/>
      <c r="U666" s="9"/>
      <c r="V666" s="9"/>
      <c r="W666" s="9"/>
      <c r="X666" s="9"/>
      <c r="Y666" s="9"/>
      <c r="Z666" s="9"/>
      <c r="AA666" s="9"/>
    </row>
    <row r="667" spans="1:27">
      <c r="A667" s="9"/>
      <c r="B667" s="9"/>
      <c r="C667" s="5"/>
      <c r="D667" s="5"/>
      <c r="E667" s="5"/>
      <c r="F667" s="9"/>
      <c r="G667" s="9"/>
      <c r="H667" s="9"/>
      <c r="I667" s="9"/>
      <c r="J667" s="9"/>
      <c r="K667" s="9"/>
      <c r="L667" s="9"/>
      <c r="M667" s="9"/>
      <c r="N667" s="9"/>
      <c r="O667" s="9"/>
      <c r="P667" s="9"/>
      <c r="Q667" s="9"/>
      <c r="R667" s="9"/>
      <c r="S667" s="9"/>
      <c r="T667" s="9"/>
      <c r="U667" s="9"/>
      <c r="V667" s="9"/>
      <c r="W667" s="9"/>
      <c r="X667" s="9"/>
      <c r="Y667" s="9"/>
      <c r="Z667" s="9"/>
      <c r="AA667" s="9"/>
    </row>
    <row r="668" spans="1:27">
      <c r="A668" s="9"/>
      <c r="B668" s="9"/>
      <c r="C668" s="5"/>
      <c r="D668" s="5"/>
      <c r="E668" s="5"/>
      <c r="F668" s="9"/>
      <c r="G668" s="9"/>
      <c r="H668" s="9"/>
      <c r="I668" s="9"/>
      <c r="J668" s="9"/>
      <c r="K668" s="9"/>
      <c r="L668" s="9"/>
      <c r="M668" s="9"/>
      <c r="N668" s="9"/>
      <c r="O668" s="9"/>
      <c r="P668" s="9"/>
      <c r="Q668" s="9"/>
      <c r="R668" s="9"/>
      <c r="S668" s="9"/>
      <c r="T668" s="9"/>
      <c r="U668" s="9"/>
      <c r="V668" s="9"/>
      <c r="W668" s="9"/>
      <c r="X668" s="9"/>
      <c r="Y668" s="9"/>
      <c r="Z668" s="9"/>
      <c r="AA668" s="9"/>
    </row>
    <row r="669" spans="1:27">
      <c r="A669" s="9"/>
      <c r="B669" s="9"/>
      <c r="C669" s="5"/>
      <c r="D669" s="5"/>
      <c r="E669" s="5"/>
      <c r="F669" s="9"/>
      <c r="G669" s="9"/>
      <c r="H669" s="9"/>
      <c r="I669" s="9"/>
      <c r="J669" s="9"/>
      <c r="K669" s="9"/>
      <c r="L669" s="9"/>
      <c r="M669" s="9"/>
      <c r="N669" s="9"/>
      <c r="O669" s="9"/>
      <c r="P669" s="9"/>
      <c r="Q669" s="9"/>
      <c r="R669" s="9"/>
      <c r="S669" s="9"/>
      <c r="T669" s="9"/>
      <c r="U669" s="9"/>
      <c r="V669" s="9"/>
      <c r="W669" s="9"/>
      <c r="X669" s="9"/>
      <c r="Y669" s="9"/>
      <c r="Z669" s="9"/>
      <c r="AA669" s="9"/>
    </row>
    <row r="670" spans="1:27">
      <c r="A670" s="9"/>
      <c r="B670" s="9"/>
      <c r="C670" s="5"/>
      <c r="D670" s="5"/>
      <c r="E670" s="5"/>
      <c r="F670" s="9"/>
      <c r="G670" s="9"/>
      <c r="H670" s="9"/>
      <c r="I670" s="9"/>
      <c r="J670" s="9"/>
      <c r="K670" s="9"/>
      <c r="L670" s="9"/>
      <c r="M670" s="9"/>
      <c r="N670" s="9"/>
      <c r="O670" s="9"/>
      <c r="P670" s="9"/>
      <c r="Q670" s="9"/>
      <c r="R670" s="9"/>
      <c r="S670" s="9"/>
      <c r="T670" s="9"/>
      <c r="U670" s="9"/>
      <c r="V670" s="9"/>
      <c r="W670" s="9"/>
      <c r="X670" s="9"/>
      <c r="Y670" s="9"/>
      <c r="Z670" s="9"/>
      <c r="AA670" s="9"/>
    </row>
    <row r="671" spans="1:27">
      <c r="A671" s="9"/>
      <c r="B671" s="9"/>
      <c r="C671" s="5"/>
      <c r="D671" s="5"/>
      <c r="E671" s="5"/>
      <c r="F671" s="9"/>
      <c r="G671" s="9"/>
      <c r="H671" s="9"/>
      <c r="I671" s="9"/>
      <c r="J671" s="9"/>
      <c r="K671" s="9"/>
      <c r="L671" s="9"/>
      <c r="M671" s="9"/>
      <c r="N671" s="9"/>
      <c r="O671" s="9"/>
      <c r="P671" s="9"/>
      <c r="Q671" s="9"/>
      <c r="R671" s="9"/>
      <c r="S671" s="9"/>
      <c r="T671" s="9"/>
      <c r="U671" s="9"/>
      <c r="V671" s="9"/>
      <c r="W671" s="9"/>
      <c r="X671" s="9"/>
      <c r="Y671" s="9"/>
      <c r="Z671" s="9"/>
      <c r="AA671" s="9"/>
    </row>
    <row r="672" spans="1:27">
      <c r="A672" s="9"/>
      <c r="B672" s="9"/>
      <c r="C672" s="5"/>
      <c r="D672" s="5"/>
      <c r="E672" s="5"/>
      <c r="F672" s="9"/>
      <c r="G672" s="9"/>
      <c r="H672" s="9"/>
      <c r="I672" s="9"/>
      <c r="J672" s="9"/>
      <c r="K672" s="9"/>
      <c r="L672" s="9"/>
      <c r="M672" s="9"/>
      <c r="N672" s="9"/>
      <c r="O672" s="9"/>
      <c r="P672" s="9"/>
      <c r="Q672" s="9"/>
      <c r="R672" s="9"/>
      <c r="S672" s="9"/>
      <c r="T672" s="9"/>
      <c r="U672" s="9"/>
      <c r="V672" s="9"/>
      <c r="W672" s="9"/>
      <c r="X672" s="9"/>
      <c r="Y672" s="9"/>
      <c r="Z672" s="9"/>
      <c r="AA672" s="9"/>
    </row>
    <row r="673" spans="1:27">
      <c r="A673" s="9"/>
      <c r="B673" s="9"/>
      <c r="C673" s="5"/>
      <c r="D673" s="5"/>
      <c r="E673" s="5"/>
      <c r="F673" s="9"/>
      <c r="G673" s="9"/>
      <c r="H673" s="9"/>
      <c r="I673" s="9"/>
      <c r="J673" s="9"/>
      <c r="K673" s="9"/>
      <c r="L673" s="9"/>
      <c r="M673" s="9"/>
      <c r="N673" s="9"/>
      <c r="O673" s="9"/>
      <c r="P673" s="9"/>
      <c r="Q673" s="9"/>
      <c r="R673" s="9"/>
      <c r="S673" s="9"/>
      <c r="T673" s="9"/>
      <c r="U673" s="9"/>
      <c r="V673" s="9"/>
      <c r="W673" s="9"/>
      <c r="X673" s="9"/>
      <c r="Y673" s="9"/>
      <c r="Z673" s="9"/>
      <c r="AA673" s="9"/>
    </row>
    <row r="674" spans="1:27">
      <c r="A674" s="9"/>
      <c r="B674" s="9"/>
      <c r="C674" s="5"/>
      <c r="D674" s="5"/>
      <c r="E674" s="5"/>
      <c r="F674" s="9"/>
      <c r="G674" s="9"/>
      <c r="H674" s="9"/>
      <c r="I674" s="9"/>
      <c r="J674" s="9"/>
      <c r="K674" s="9"/>
      <c r="L674" s="9"/>
      <c r="M674" s="9"/>
      <c r="N674" s="9"/>
      <c r="O674" s="9"/>
      <c r="P674" s="9"/>
      <c r="Q674" s="9"/>
      <c r="R674" s="9"/>
      <c r="S674" s="9"/>
      <c r="T674" s="9"/>
      <c r="U674" s="9"/>
      <c r="V674" s="9"/>
      <c r="W674" s="9"/>
      <c r="X674" s="9"/>
      <c r="Y674" s="9"/>
      <c r="Z674" s="9"/>
      <c r="AA674" s="9"/>
    </row>
    <row r="675" spans="1:27">
      <c r="A675" s="9"/>
      <c r="B675" s="9"/>
      <c r="C675" s="5"/>
      <c r="D675" s="5"/>
      <c r="E675" s="5"/>
      <c r="F675" s="9"/>
      <c r="G675" s="9"/>
      <c r="H675" s="9"/>
      <c r="I675" s="9"/>
      <c r="J675" s="9"/>
      <c r="K675" s="9"/>
      <c r="L675" s="9"/>
      <c r="M675" s="9"/>
      <c r="N675" s="9"/>
      <c r="O675" s="9"/>
      <c r="P675" s="9"/>
      <c r="Q675" s="9"/>
      <c r="R675" s="9"/>
      <c r="S675" s="9"/>
      <c r="T675" s="9"/>
      <c r="U675" s="9"/>
      <c r="V675" s="9"/>
      <c r="W675" s="9"/>
      <c r="X675" s="9"/>
      <c r="Y675" s="9"/>
      <c r="Z675" s="9"/>
      <c r="AA675" s="9"/>
    </row>
    <row r="676" spans="1:27">
      <c r="A676" s="9"/>
      <c r="B676" s="9"/>
      <c r="C676" s="5"/>
      <c r="D676" s="5"/>
      <c r="E676" s="5"/>
      <c r="F676" s="9"/>
      <c r="G676" s="9"/>
      <c r="H676" s="9"/>
      <c r="I676" s="9"/>
      <c r="J676" s="9"/>
      <c r="K676" s="9"/>
      <c r="L676" s="9"/>
      <c r="M676" s="9"/>
      <c r="N676" s="9"/>
      <c r="O676" s="9"/>
      <c r="P676" s="9"/>
      <c r="Q676" s="9"/>
      <c r="R676" s="9"/>
      <c r="S676" s="9"/>
      <c r="T676" s="9"/>
      <c r="U676" s="9"/>
      <c r="V676" s="9"/>
      <c r="W676" s="9"/>
      <c r="X676" s="9"/>
      <c r="Y676" s="9"/>
      <c r="Z676" s="9"/>
      <c r="AA676" s="9"/>
    </row>
    <row r="677" spans="1:27">
      <c r="A677" s="9"/>
      <c r="B677" s="9"/>
      <c r="C677" s="5"/>
      <c r="D677" s="5"/>
      <c r="E677" s="5"/>
      <c r="F677" s="9"/>
      <c r="G677" s="9"/>
      <c r="H677" s="9"/>
      <c r="I677" s="9"/>
      <c r="J677" s="9"/>
      <c r="K677" s="9"/>
      <c r="L677" s="9"/>
      <c r="M677" s="9"/>
      <c r="N677" s="9"/>
      <c r="O677" s="9"/>
      <c r="P677" s="9"/>
      <c r="Q677" s="9"/>
      <c r="R677" s="9"/>
      <c r="S677" s="9"/>
      <c r="T677" s="9"/>
      <c r="U677" s="9"/>
      <c r="V677" s="9"/>
      <c r="W677" s="9"/>
      <c r="X677" s="9"/>
      <c r="Y677" s="9"/>
      <c r="Z677" s="9"/>
      <c r="AA677" s="9"/>
    </row>
    <row r="678" spans="1:27">
      <c r="A678" s="9"/>
      <c r="B678" s="9"/>
      <c r="C678" s="5"/>
      <c r="D678" s="5"/>
      <c r="E678" s="5"/>
      <c r="F678" s="9"/>
      <c r="G678" s="9"/>
      <c r="H678" s="9"/>
      <c r="I678" s="9"/>
      <c r="J678" s="9"/>
      <c r="K678" s="9"/>
      <c r="L678" s="9"/>
      <c r="M678" s="9"/>
      <c r="N678" s="9"/>
      <c r="O678" s="9"/>
      <c r="P678" s="9"/>
      <c r="Q678" s="9"/>
      <c r="R678" s="9"/>
      <c r="S678" s="9"/>
      <c r="T678" s="9"/>
      <c r="U678" s="9"/>
      <c r="V678" s="9"/>
      <c r="W678" s="9"/>
      <c r="X678" s="9"/>
      <c r="Y678" s="9"/>
      <c r="Z678" s="9"/>
      <c r="AA678" s="9"/>
    </row>
    <row r="679" spans="1:27">
      <c r="A679" s="9"/>
      <c r="B679" s="9"/>
      <c r="C679" s="5"/>
      <c r="D679" s="5"/>
      <c r="E679" s="5"/>
      <c r="F679" s="9"/>
      <c r="G679" s="9"/>
      <c r="H679" s="9"/>
      <c r="I679" s="9"/>
      <c r="J679" s="9"/>
      <c r="K679" s="9"/>
      <c r="L679" s="9"/>
      <c r="M679" s="9"/>
      <c r="N679" s="9"/>
      <c r="O679" s="9"/>
      <c r="P679" s="9"/>
      <c r="Q679" s="9"/>
      <c r="R679" s="9"/>
      <c r="S679" s="9"/>
      <c r="T679" s="9"/>
      <c r="U679" s="9"/>
      <c r="V679" s="9"/>
      <c r="W679" s="9"/>
      <c r="X679" s="9"/>
      <c r="Y679" s="9"/>
      <c r="Z679" s="9"/>
      <c r="AA679" s="9"/>
    </row>
    <row r="680" spans="1:27">
      <c r="A680" s="9"/>
      <c r="B680" s="9"/>
      <c r="C680" s="5"/>
      <c r="D680" s="5"/>
      <c r="E680" s="5"/>
      <c r="F680" s="9"/>
      <c r="G680" s="9"/>
      <c r="H680" s="9"/>
      <c r="I680" s="9"/>
      <c r="J680" s="9"/>
      <c r="K680" s="9"/>
      <c r="L680" s="9"/>
      <c r="M680" s="9"/>
      <c r="N680" s="9"/>
      <c r="O680" s="9"/>
      <c r="P680" s="9"/>
      <c r="Q680" s="9"/>
      <c r="R680" s="9"/>
      <c r="S680" s="9"/>
      <c r="T680" s="9"/>
      <c r="U680" s="9"/>
      <c r="V680" s="9"/>
      <c r="W680" s="9"/>
      <c r="X680" s="9"/>
      <c r="Y680" s="9"/>
      <c r="Z680" s="9"/>
      <c r="AA680" s="9"/>
    </row>
    <row r="681" spans="1:27">
      <c r="A681" s="9"/>
      <c r="B681" s="9"/>
      <c r="C681" s="5"/>
      <c r="D681" s="5"/>
      <c r="E681" s="5"/>
      <c r="F681" s="9"/>
      <c r="G681" s="9"/>
      <c r="H681" s="9"/>
      <c r="I681" s="9"/>
      <c r="J681" s="9"/>
      <c r="K681" s="9"/>
      <c r="L681" s="9"/>
      <c r="M681" s="9"/>
      <c r="N681" s="9"/>
      <c r="O681" s="9"/>
      <c r="P681" s="9"/>
      <c r="Q681" s="9"/>
      <c r="R681" s="9"/>
      <c r="S681" s="9"/>
      <c r="T681" s="9"/>
      <c r="U681" s="9"/>
      <c r="V681" s="9"/>
      <c r="W681" s="9"/>
      <c r="X681" s="9"/>
      <c r="Y681" s="9"/>
      <c r="Z681" s="9"/>
      <c r="AA681" s="9"/>
    </row>
    <row r="682" spans="1:27">
      <c r="A682" s="9"/>
      <c r="B682" s="9"/>
      <c r="C682" s="5"/>
      <c r="D682" s="5"/>
      <c r="E682" s="5"/>
      <c r="F682" s="9"/>
      <c r="G682" s="9"/>
      <c r="H682" s="9"/>
      <c r="I682" s="9"/>
      <c r="J682" s="9"/>
      <c r="K682" s="9"/>
      <c r="L682" s="9"/>
      <c r="M682" s="9"/>
      <c r="N682" s="9"/>
      <c r="O682" s="9"/>
      <c r="P682" s="9"/>
      <c r="Q682" s="9"/>
      <c r="R682" s="9"/>
      <c r="S682" s="9"/>
      <c r="T682" s="9"/>
      <c r="U682" s="9"/>
      <c r="V682" s="9"/>
      <c r="W682" s="9"/>
      <c r="X682" s="9"/>
      <c r="Y682" s="9"/>
      <c r="Z682" s="9"/>
      <c r="AA682" s="9"/>
    </row>
    <row r="683" spans="1:27">
      <c r="A683" s="9"/>
      <c r="B683" s="9"/>
      <c r="C683" s="5"/>
      <c r="D683" s="5"/>
      <c r="E683" s="5"/>
      <c r="F683" s="9"/>
      <c r="G683" s="9"/>
      <c r="H683" s="9"/>
      <c r="I683" s="9"/>
      <c r="J683" s="9"/>
      <c r="K683" s="9"/>
      <c r="L683" s="9"/>
      <c r="M683" s="9"/>
      <c r="N683" s="9"/>
      <c r="O683" s="9"/>
      <c r="P683" s="9"/>
      <c r="Q683" s="9"/>
      <c r="R683" s="9"/>
      <c r="S683" s="9"/>
      <c r="T683" s="9"/>
      <c r="U683" s="9"/>
      <c r="V683" s="9"/>
      <c r="W683" s="9"/>
      <c r="X683" s="9"/>
      <c r="Y683" s="9"/>
      <c r="Z683" s="9"/>
      <c r="AA683" s="9"/>
    </row>
    <row r="684" spans="1:27">
      <c r="A684" s="9"/>
      <c r="B684" s="9"/>
      <c r="C684" s="5"/>
      <c r="D684" s="5"/>
      <c r="E684" s="5"/>
      <c r="F684" s="9"/>
      <c r="G684" s="9"/>
      <c r="H684" s="9"/>
      <c r="I684" s="9"/>
      <c r="J684" s="9"/>
      <c r="K684" s="9"/>
      <c r="L684" s="9"/>
      <c r="M684" s="9"/>
      <c r="N684" s="9"/>
      <c r="O684" s="9"/>
      <c r="P684" s="9"/>
      <c r="Q684" s="9"/>
      <c r="R684" s="9"/>
      <c r="S684" s="9"/>
      <c r="T684" s="9"/>
      <c r="U684" s="9"/>
      <c r="V684" s="9"/>
      <c r="W684" s="9"/>
      <c r="X684" s="9"/>
      <c r="Y684" s="9"/>
      <c r="Z684" s="9"/>
      <c r="AA684" s="9"/>
    </row>
    <row r="685" spans="1:27">
      <c r="A685" s="9"/>
      <c r="B685" s="9"/>
      <c r="C685" s="5"/>
      <c r="D685" s="5"/>
      <c r="E685" s="5"/>
      <c r="F685" s="9"/>
      <c r="G685" s="9"/>
      <c r="H685" s="9"/>
      <c r="I685" s="9"/>
      <c r="J685" s="9"/>
      <c r="K685" s="9"/>
      <c r="L685" s="9"/>
      <c r="M685" s="9"/>
      <c r="N685" s="9"/>
      <c r="O685" s="9"/>
      <c r="P685" s="9"/>
      <c r="Q685" s="9"/>
      <c r="R685" s="9"/>
      <c r="S685" s="9"/>
      <c r="T685" s="9"/>
      <c r="U685" s="9"/>
      <c r="V685" s="9"/>
      <c r="W685" s="9"/>
      <c r="X685" s="9"/>
      <c r="Y685" s="9"/>
      <c r="Z685" s="9"/>
      <c r="AA685" s="9"/>
    </row>
    <row r="686" spans="1:27">
      <c r="A686" s="9"/>
      <c r="B686" s="9"/>
      <c r="C686" s="5"/>
      <c r="D686" s="5"/>
      <c r="E686" s="5"/>
      <c r="F686" s="9"/>
      <c r="G686" s="9"/>
      <c r="H686" s="9"/>
      <c r="I686" s="9"/>
      <c r="J686" s="9"/>
      <c r="K686" s="9"/>
      <c r="L686" s="9"/>
      <c r="M686" s="9"/>
      <c r="N686" s="9"/>
      <c r="O686" s="9"/>
      <c r="P686" s="9"/>
      <c r="Q686" s="9"/>
      <c r="R686" s="9"/>
      <c r="S686" s="9"/>
      <c r="T686" s="9"/>
      <c r="U686" s="9"/>
      <c r="V686" s="9"/>
      <c r="W686" s="9"/>
      <c r="X686" s="9"/>
      <c r="Y686" s="9"/>
      <c r="Z686" s="9"/>
      <c r="AA686" s="9"/>
    </row>
    <row r="687" spans="1:27">
      <c r="A687" s="9"/>
      <c r="B687" s="9"/>
      <c r="C687" s="5"/>
      <c r="D687" s="5"/>
      <c r="E687" s="5"/>
      <c r="F687" s="9"/>
      <c r="G687" s="9"/>
      <c r="H687" s="9"/>
      <c r="I687" s="9"/>
      <c r="J687" s="9"/>
      <c r="K687" s="9"/>
      <c r="L687" s="9"/>
      <c r="M687" s="9"/>
      <c r="N687" s="9"/>
      <c r="O687" s="9"/>
      <c r="P687" s="9"/>
      <c r="Q687" s="9"/>
      <c r="R687" s="9"/>
      <c r="S687" s="9"/>
      <c r="T687" s="9"/>
      <c r="U687" s="9"/>
      <c r="V687" s="9"/>
      <c r="W687" s="9"/>
      <c r="X687" s="9"/>
      <c r="Y687" s="9"/>
      <c r="Z687" s="9"/>
      <c r="AA687" s="9"/>
    </row>
    <row r="688" spans="1:27">
      <c r="A688" s="9"/>
      <c r="B688" s="9"/>
      <c r="C688" s="5"/>
      <c r="D688" s="5"/>
      <c r="E688" s="5"/>
      <c r="F688" s="9"/>
      <c r="G688" s="9"/>
      <c r="H688" s="9"/>
      <c r="I688" s="9"/>
      <c r="J688" s="9"/>
      <c r="K688" s="9"/>
      <c r="L688" s="9"/>
      <c r="M688" s="9"/>
      <c r="N688" s="9"/>
      <c r="O688" s="9"/>
      <c r="P688" s="9"/>
      <c r="Q688" s="9"/>
      <c r="R688" s="9"/>
      <c r="S688" s="9"/>
      <c r="T688" s="9"/>
      <c r="U688" s="9"/>
      <c r="V688" s="9"/>
      <c r="W688" s="9"/>
      <c r="X688" s="9"/>
      <c r="Y688" s="9"/>
      <c r="Z688" s="9"/>
      <c r="AA688" s="9"/>
    </row>
    <row r="689" spans="1:27">
      <c r="A689" s="9"/>
      <c r="B689" s="9"/>
      <c r="C689" s="5"/>
      <c r="D689" s="5"/>
      <c r="E689" s="5"/>
      <c r="F689" s="9"/>
      <c r="G689" s="9"/>
      <c r="H689" s="9"/>
      <c r="I689" s="9"/>
      <c r="J689" s="9"/>
      <c r="K689" s="9"/>
      <c r="L689" s="9"/>
      <c r="M689" s="9"/>
      <c r="N689" s="9"/>
      <c r="O689" s="9"/>
      <c r="P689" s="9"/>
      <c r="Q689" s="9"/>
      <c r="R689" s="9"/>
      <c r="S689" s="9"/>
      <c r="T689" s="9"/>
      <c r="U689" s="9"/>
      <c r="V689" s="9"/>
      <c r="W689" s="9"/>
      <c r="X689" s="9"/>
      <c r="Y689" s="9"/>
      <c r="Z689" s="9"/>
      <c r="AA689" s="9"/>
    </row>
    <row r="690" spans="1:27">
      <c r="A690" s="9"/>
      <c r="B690" s="9"/>
      <c r="C690" s="5"/>
      <c r="D690" s="5"/>
      <c r="E690" s="5"/>
      <c r="F690" s="9"/>
      <c r="G690" s="9"/>
      <c r="H690" s="9"/>
      <c r="I690" s="9"/>
      <c r="J690" s="9"/>
      <c r="K690" s="9"/>
      <c r="L690" s="9"/>
      <c r="M690" s="9"/>
      <c r="N690" s="9"/>
      <c r="O690" s="9"/>
      <c r="P690" s="9"/>
      <c r="Q690" s="9"/>
      <c r="R690" s="9"/>
      <c r="S690" s="9"/>
      <c r="T690" s="9"/>
      <c r="U690" s="9"/>
      <c r="V690" s="9"/>
      <c r="W690" s="9"/>
      <c r="X690" s="9"/>
      <c r="Y690" s="9"/>
      <c r="Z690" s="9"/>
      <c r="AA690" s="9"/>
    </row>
    <row r="691" spans="1:27">
      <c r="A691" s="9"/>
      <c r="B691" s="9"/>
      <c r="C691" s="5"/>
      <c r="D691" s="5"/>
      <c r="E691" s="5"/>
      <c r="F691" s="9"/>
      <c r="G691" s="9"/>
      <c r="H691" s="9"/>
      <c r="I691" s="9"/>
      <c r="J691" s="9"/>
      <c r="K691" s="9"/>
      <c r="L691" s="9"/>
      <c r="M691" s="9"/>
      <c r="N691" s="9"/>
      <c r="O691" s="9"/>
      <c r="P691" s="9"/>
      <c r="Q691" s="9"/>
      <c r="R691" s="9"/>
      <c r="S691" s="9"/>
      <c r="T691" s="9"/>
      <c r="U691" s="9"/>
      <c r="V691" s="9"/>
      <c r="W691" s="9"/>
      <c r="X691" s="9"/>
      <c r="Y691" s="9"/>
      <c r="Z691" s="9"/>
      <c r="AA691" s="9"/>
    </row>
    <row r="692" spans="1:27">
      <c r="A692" s="9"/>
      <c r="B692" s="9"/>
      <c r="C692" s="5"/>
      <c r="D692" s="5"/>
      <c r="E692" s="5"/>
      <c r="F692" s="9"/>
      <c r="G692" s="9"/>
      <c r="H692" s="9"/>
      <c r="I692" s="9"/>
      <c r="J692" s="9"/>
      <c r="K692" s="9"/>
      <c r="L692" s="9"/>
      <c r="M692" s="9"/>
      <c r="N692" s="9"/>
      <c r="O692" s="9"/>
      <c r="P692" s="9"/>
      <c r="Q692" s="9"/>
      <c r="R692" s="9"/>
      <c r="S692" s="9"/>
      <c r="T692" s="9"/>
      <c r="U692" s="9"/>
      <c r="V692" s="9"/>
      <c r="W692" s="9"/>
      <c r="X692" s="9"/>
      <c r="Y692" s="9"/>
      <c r="Z692" s="9"/>
      <c r="AA692" s="9"/>
    </row>
    <row r="693" spans="1:27">
      <c r="A693" s="9"/>
      <c r="B693" s="9"/>
      <c r="C693" s="5"/>
      <c r="D693" s="5"/>
      <c r="E693" s="5"/>
      <c r="F693" s="9"/>
      <c r="G693" s="9"/>
      <c r="H693" s="9"/>
      <c r="I693" s="9"/>
      <c r="J693" s="9"/>
      <c r="K693" s="9"/>
      <c r="L693" s="9"/>
      <c r="M693" s="9"/>
      <c r="N693" s="9"/>
      <c r="O693" s="9"/>
      <c r="P693" s="9"/>
      <c r="Q693" s="9"/>
      <c r="R693" s="9"/>
      <c r="S693" s="9"/>
      <c r="T693" s="9"/>
      <c r="U693" s="9"/>
      <c r="V693" s="9"/>
      <c r="W693" s="9"/>
      <c r="X693" s="9"/>
      <c r="Y693" s="9"/>
      <c r="Z693" s="9"/>
      <c r="AA693" s="9"/>
    </row>
    <row r="694" spans="1:27">
      <c r="A694" s="9"/>
      <c r="B694" s="9"/>
      <c r="C694" s="5"/>
      <c r="D694" s="5"/>
      <c r="E694" s="5"/>
      <c r="F694" s="9"/>
      <c r="G694" s="9"/>
      <c r="H694" s="9"/>
      <c r="I694" s="9"/>
      <c r="J694" s="9"/>
      <c r="K694" s="9"/>
      <c r="L694" s="9"/>
      <c r="M694" s="9"/>
      <c r="N694" s="9"/>
      <c r="O694" s="9"/>
      <c r="P694" s="9"/>
      <c r="Q694" s="9"/>
      <c r="R694" s="9"/>
      <c r="S694" s="9"/>
      <c r="T694" s="9"/>
      <c r="U694" s="9"/>
      <c r="V694" s="9"/>
      <c r="W694" s="9"/>
      <c r="X694" s="9"/>
      <c r="Y694" s="9"/>
      <c r="Z694" s="9"/>
      <c r="AA694" s="9"/>
    </row>
    <row r="695" spans="1:27">
      <c r="A695" s="9"/>
      <c r="B695" s="9"/>
      <c r="C695" s="5"/>
      <c r="D695" s="5"/>
      <c r="E695" s="5"/>
      <c r="F695" s="9"/>
      <c r="G695" s="9"/>
      <c r="H695" s="9"/>
      <c r="I695" s="9"/>
      <c r="J695" s="9"/>
      <c r="K695" s="9"/>
      <c r="L695" s="9"/>
      <c r="M695" s="9"/>
      <c r="N695" s="9"/>
      <c r="O695" s="9"/>
      <c r="P695" s="9"/>
      <c r="Q695" s="9"/>
      <c r="R695" s="9"/>
      <c r="S695" s="9"/>
      <c r="T695" s="9"/>
      <c r="U695" s="9"/>
      <c r="V695" s="9"/>
      <c r="W695" s="9"/>
      <c r="X695" s="9"/>
      <c r="Y695" s="9"/>
      <c r="Z695" s="9"/>
      <c r="AA695" s="9"/>
    </row>
    <row r="696" spans="1:27">
      <c r="A696" s="9"/>
      <c r="B696" s="9"/>
      <c r="C696" s="5"/>
      <c r="D696" s="5"/>
      <c r="E696" s="5"/>
      <c r="F696" s="9"/>
      <c r="G696" s="9"/>
      <c r="H696" s="9"/>
      <c r="I696" s="9"/>
      <c r="J696" s="9"/>
      <c r="K696" s="9"/>
      <c r="L696" s="9"/>
      <c r="M696" s="9"/>
      <c r="N696" s="9"/>
      <c r="O696" s="9"/>
      <c r="P696" s="9"/>
      <c r="Q696" s="9"/>
      <c r="R696" s="9"/>
      <c r="S696" s="9"/>
      <c r="T696" s="9"/>
      <c r="U696" s="9"/>
      <c r="V696" s="9"/>
      <c r="W696" s="9"/>
      <c r="X696" s="9"/>
      <c r="Y696" s="9"/>
      <c r="Z696" s="9"/>
      <c r="AA696" s="9"/>
    </row>
    <row r="697" spans="1:27">
      <c r="A697" s="9"/>
      <c r="B697" s="9"/>
      <c r="C697" s="5"/>
      <c r="D697" s="5"/>
      <c r="E697" s="5"/>
      <c r="F697" s="9"/>
      <c r="G697" s="9"/>
      <c r="H697" s="9"/>
      <c r="I697" s="9"/>
      <c r="J697" s="9"/>
      <c r="K697" s="9"/>
      <c r="L697" s="9"/>
      <c r="M697" s="9"/>
      <c r="N697" s="9"/>
      <c r="O697" s="9"/>
      <c r="P697" s="9"/>
      <c r="Q697" s="9"/>
      <c r="R697" s="9"/>
      <c r="S697" s="9"/>
      <c r="T697" s="9"/>
      <c r="U697" s="9"/>
      <c r="V697" s="9"/>
      <c r="W697" s="9"/>
      <c r="X697" s="9"/>
      <c r="Y697" s="9"/>
      <c r="Z697" s="9"/>
      <c r="AA697" s="9"/>
    </row>
    <row r="698" spans="1:27">
      <c r="A698" s="9"/>
      <c r="B698" s="9"/>
      <c r="C698" s="5"/>
      <c r="D698" s="5"/>
      <c r="E698" s="5"/>
      <c r="F698" s="9"/>
      <c r="G698" s="9"/>
      <c r="H698" s="9"/>
      <c r="I698" s="9"/>
      <c r="J698" s="9"/>
      <c r="K698" s="9"/>
      <c r="L698" s="9"/>
      <c r="M698" s="9"/>
      <c r="N698" s="9"/>
      <c r="O698" s="9"/>
      <c r="P698" s="9"/>
      <c r="Q698" s="9"/>
      <c r="R698" s="9"/>
      <c r="S698" s="9"/>
      <c r="T698" s="9"/>
      <c r="U698" s="9"/>
      <c r="V698" s="9"/>
      <c r="W698" s="9"/>
      <c r="X698" s="9"/>
      <c r="Y698" s="9"/>
      <c r="Z698" s="9"/>
      <c r="AA698" s="9"/>
    </row>
    <row r="699" spans="1:27">
      <c r="A699" s="9"/>
      <c r="B699" s="9"/>
      <c r="C699" s="5"/>
      <c r="D699" s="5"/>
      <c r="E699" s="5"/>
      <c r="F699" s="9"/>
      <c r="G699" s="9"/>
      <c r="H699" s="9"/>
      <c r="I699" s="9"/>
      <c r="J699" s="9"/>
      <c r="K699" s="9"/>
      <c r="L699" s="9"/>
      <c r="M699" s="9"/>
      <c r="N699" s="9"/>
      <c r="O699" s="9"/>
      <c r="P699" s="9"/>
      <c r="Q699" s="9"/>
      <c r="R699" s="9"/>
      <c r="S699" s="9"/>
      <c r="T699" s="9"/>
      <c r="U699" s="9"/>
      <c r="V699" s="9"/>
      <c r="W699" s="9"/>
      <c r="X699" s="9"/>
      <c r="Y699" s="9"/>
      <c r="Z699" s="9"/>
      <c r="AA699" s="9"/>
    </row>
    <row r="700" spans="1:27">
      <c r="A700" s="9"/>
      <c r="B700" s="9"/>
      <c r="C700" s="5"/>
      <c r="D700" s="5"/>
      <c r="E700" s="5"/>
      <c r="F700" s="9"/>
      <c r="G700" s="9"/>
      <c r="H700" s="9"/>
      <c r="I700" s="9"/>
      <c r="J700" s="9"/>
      <c r="K700" s="9"/>
      <c r="L700" s="9"/>
      <c r="M700" s="9"/>
      <c r="N700" s="9"/>
      <c r="O700" s="9"/>
      <c r="P700" s="9"/>
      <c r="Q700" s="9"/>
      <c r="R700" s="9"/>
      <c r="S700" s="9"/>
      <c r="T700" s="9"/>
      <c r="U700" s="9"/>
      <c r="V700" s="9"/>
      <c r="W700" s="9"/>
      <c r="X700" s="9"/>
      <c r="Y700" s="9"/>
      <c r="Z700" s="9"/>
      <c r="AA700" s="9"/>
    </row>
    <row r="701" spans="1:27">
      <c r="A701" s="9"/>
      <c r="B701" s="9"/>
      <c r="C701" s="5"/>
      <c r="D701" s="5"/>
      <c r="E701" s="5"/>
      <c r="F701" s="9"/>
      <c r="G701" s="9"/>
      <c r="H701" s="9"/>
      <c r="I701" s="9"/>
      <c r="J701" s="9"/>
      <c r="K701" s="9"/>
      <c r="L701" s="9"/>
      <c r="M701" s="9"/>
      <c r="N701" s="9"/>
      <c r="O701" s="9"/>
      <c r="P701" s="9"/>
      <c r="Q701" s="9"/>
      <c r="R701" s="9"/>
      <c r="S701" s="9"/>
      <c r="T701" s="9"/>
      <c r="U701" s="9"/>
      <c r="V701" s="9"/>
      <c r="W701" s="9"/>
      <c r="X701" s="9"/>
      <c r="Y701" s="9"/>
      <c r="Z701" s="9"/>
      <c r="AA701" s="9"/>
    </row>
    <row r="702" spans="1:27">
      <c r="A702" s="9"/>
      <c r="B702" s="9"/>
      <c r="C702" s="5"/>
      <c r="D702" s="5"/>
      <c r="E702" s="5"/>
      <c r="F702" s="9"/>
      <c r="G702" s="9"/>
      <c r="H702" s="9"/>
      <c r="I702" s="9"/>
      <c r="J702" s="9"/>
      <c r="K702" s="9"/>
      <c r="L702" s="9"/>
      <c r="M702" s="9"/>
      <c r="N702" s="9"/>
      <c r="O702" s="9"/>
      <c r="P702" s="9"/>
      <c r="Q702" s="9"/>
      <c r="R702" s="9"/>
      <c r="S702" s="9"/>
      <c r="T702" s="9"/>
      <c r="U702" s="9"/>
      <c r="V702" s="9"/>
      <c r="W702" s="9"/>
      <c r="X702" s="9"/>
      <c r="Y702" s="9"/>
      <c r="Z702" s="9"/>
      <c r="AA702" s="9"/>
    </row>
    <row r="703" spans="1:27">
      <c r="A703" s="9"/>
      <c r="B703" s="9"/>
      <c r="C703" s="5"/>
      <c r="D703" s="5"/>
      <c r="E703" s="5"/>
      <c r="F703" s="9"/>
      <c r="G703" s="9"/>
      <c r="H703" s="9"/>
      <c r="I703" s="9"/>
      <c r="J703" s="9"/>
      <c r="K703" s="9"/>
      <c r="L703" s="9"/>
      <c r="M703" s="9"/>
      <c r="N703" s="9"/>
      <c r="O703" s="9"/>
      <c r="P703" s="9"/>
      <c r="Q703" s="9"/>
      <c r="R703" s="9"/>
      <c r="S703" s="9"/>
      <c r="T703" s="9"/>
      <c r="U703" s="9"/>
      <c r="V703" s="9"/>
      <c r="W703" s="9"/>
      <c r="X703" s="9"/>
      <c r="Y703" s="9"/>
      <c r="Z703" s="9"/>
      <c r="AA703" s="9"/>
    </row>
    <row r="704" spans="1:27">
      <c r="A704" s="9"/>
      <c r="B704" s="9"/>
      <c r="C704" s="5"/>
      <c r="D704" s="5"/>
      <c r="E704" s="5"/>
      <c r="F704" s="9"/>
      <c r="G704" s="9"/>
      <c r="H704" s="9"/>
      <c r="I704" s="9"/>
      <c r="J704" s="9"/>
      <c r="K704" s="9"/>
      <c r="L704" s="9"/>
      <c r="M704" s="9"/>
      <c r="N704" s="9"/>
      <c r="O704" s="9"/>
      <c r="P704" s="9"/>
      <c r="Q704" s="9"/>
      <c r="R704" s="9"/>
      <c r="S704" s="9"/>
      <c r="T704" s="9"/>
      <c r="U704" s="9"/>
      <c r="V704" s="9"/>
      <c r="W704" s="9"/>
      <c r="X704" s="9"/>
      <c r="Y704" s="9"/>
      <c r="Z704" s="9"/>
      <c r="AA704" s="9"/>
    </row>
    <row r="705" spans="1:27">
      <c r="A705" s="9"/>
      <c r="B705" s="9"/>
      <c r="C705" s="5"/>
      <c r="D705" s="5"/>
      <c r="E705" s="5"/>
      <c r="F705" s="9"/>
      <c r="G705" s="9"/>
      <c r="H705" s="9"/>
      <c r="I705" s="9"/>
      <c r="J705" s="9"/>
      <c r="K705" s="9"/>
      <c r="L705" s="9"/>
      <c r="M705" s="9"/>
      <c r="N705" s="9"/>
      <c r="O705" s="9"/>
      <c r="P705" s="9"/>
      <c r="Q705" s="9"/>
      <c r="R705" s="9"/>
      <c r="S705" s="9"/>
      <c r="T705" s="9"/>
      <c r="U705" s="9"/>
      <c r="V705" s="9"/>
      <c r="W705" s="9"/>
      <c r="X705" s="9"/>
      <c r="Y705" s="9"/>
      <c r="Z705" s="9"/>
      <c r="AA705" s="9"/>
    </row>
    <row r="706" spans="1:27">
      <c r="A706" s="9"/>
      <c r="B706" s="9"/>
      <c r="C706" s="5"/>
      <c r="D706" s="5"/>
      <c r="E706" s="5"/>
      <c r="F706" s="9"/>
      <c r="G706" s="9"/>
      <c r="H706" s="9"/>
      <c r="I706" s="9"/>
      <c r="J706" s="9"/>
      <c r="K706" s="9"/>
      <c r="L706" s="9"/>
      <c r="M706" s="9"/>
      <c r="N706" s="9"/>
      <c r="O706" s="9"/>
      <c r="P706" s="9"/>
      <c r="Q706" s="9"/>
      <c r="R706" s="9"/>
      <c r="S706" s="9"/>
      <c r="T706" s="9"/>
      <c r="U706" s="9"/>
      <c r="V706" s="9"/>
      <c r="W706" s="9"/>
      <c r="X706" s="9"/>
      <c r="Y706" s="9"/>
      <c r="Z706" s="9"/>
      <c r="AA706" s="9"/>
    </row>
    <row r="707" spans="1:27">
      <c r="A707" s="9"/>
      <c r="B707" s="9"/>
      <c r="C707" s="5"/>
      <c r="D707" s="5"/>
      <c r="E707" s="5"/>
      <c r="F707" s="9"/>
      <c r="G707" s="9"/>
      <c r="H707" s="9"/>
      <c r="I707" s="9"/>
      <c r="J707" s="9"/>
      <c r="K707" s="9"/>
      <c r="L707" s="9"/>
      <c r="M707" s="9"/>
      <c r="N707" s="9"/>
      <c r="O707" s="9"/>
      <c r="P707" s="9"/>
      <c r="Q707" s="9"/>
      <c r="R707" s="9"/>
      <c r="S707" s="9"/>
      <c r="T707" s="9"/>
      <c r="U707" s="9"/>
      <c r="V707" s="9"/>
      <c r="W707" s="9"/>
      <c r="X707" s="9"/>
      <c r="Y707" s="9"/>
      <c r="Z707" s="9"/>
      <c r="AA707" s="9"/>
    </row>
    <row r="708" spans="1:27">
      <c r="A708" s="9"/>
      <c r="B708" s="9"/>
      <c r="C708" s="5"/>
      <c r="D708" s="5"/>
      <c r="E708" s="5"/>
      <c r="F708" s="9"/>
      <c r="G708" s="9"/>
      <c r="H708" s="9"/>
      <c r="I708" s="9"/>
      <c r="J708" s="9"/>
      <c r="K708" s="9"/>
      <c r="L708" s="9"/>
      <c r="M708" s="9"/>
      <c r="N708" s="9"/>
      <c r="O708" s="9"/>
      <c r="P708" s="9"/>
      <c r="Q708" s="9"/>
      <c r="R708" s="9"/>
      <c r="S708" s="9"/>
      <c r="T708" s="9"/>
      <c r="U708" s="9"/>
      <c r="V708" s="9"/>
      <c r="W708" s="9"/>
      <c r="X708" s="9"/>
      <c r="Y708" s="9"/>
      <c r="Z708" s="9"/>
      <c r="AA708" s="9"/>
    </row>
    <row r="709" spans="1:27">
      <c r="A709" s="9"/>
      <c r="B709" s="9"/>
      <c r="C709" s="5"/>
      <c r="D709" s="5"/>
      <c r="E709" s="5"/>
      <c r="F709" s="9"/>
      <c r="G709" s="9"/>
      <c r="H709" s="9"/>
      <c r="I709" s="9"/>
      <c r="J709" s="9"/>
      <c r="K709" s="9"/>
      <c r="L709" s="9"/>
      <c r="M709" s="9"/>
      <c r="N709" s="9"/>
      <c r="O709" s="9"/>
      <c r="P709" s="9"/>
      <c r="Q709" s="9"/>
      <c r="R709" s="9"/>
      <c r="S709" s="9"/>
      <c r="T709" s="9"/>
      <c r="U709" s="9"/>
      <c r="V709" s="9"/>
      <c r="W709" s="9"/>
      <c r="X709" s="9"/>
      <c r="Y709" s="9"/>
      <c r="Z709" s="9"/>
      <c r="AA709" s="9"/>
    </row>
    <row r="710" spans="1:27">
      <c r="A710" s="9"/>
      <c r="B710" s="9"/>
      <c r="C710" s="5"/>
      <c r="D710" s="5"/>
      <c r="E710" s="5"/>
      <c r="F710" s="9"/>
      <c r="G710" s="9"/>
      <c r="H710" s="9"/>
      <c r="I710" s="9"/>
      <c r="J710" s="9"/>
      <c r="K710" s="9"/>
      <c r="L710" s="9"/>
      <c r="M710" s="9"/>
      <c r="N710" s="9"/>
      <c r="O710" s="9"/>
      <c r="P710" s="9"/>
      <c r="Q710" s="9"/>
      <c r="R710" s="9"/>
      <c r="S710" s="9"/>
      <c r="T710" s="9"/>
      <c r="U710" s="9"/>
      <c r="V710" s="9"/>
      <c r="W710" s="9"/>
      <c r="X710" s="9"/>
      <c r="Y710" s="9"/>
      <c r="Z710" s="9"/>
      <c r="AA710" s="9"/>
    </row>
    <row r="711" spans="1:27">
      <c r="A711" s="9"/>
      <c r="B711" s="9"/>
      <c r="C711" s="5"/>
      <c r="D711" s="5"/>
      <c r="E711" s="5"/>
      <c r="F711" s="9"/>
      <c r="G711" s="9"/>
      <c r="H711" s="9"/>
      <c r="I711" s="9"/>
      <c r="J711" s="9"/>
      <c r="K711" s="9"/>
      <c r="L711" s="9"/>
      <c r="M711" s="9"/>
      <c r="N711" s="9"/>
      <c r="O711" s="9"/>
      <c r="P711" s="9"/>
      <c r="Q711" s="9"/>
      <c r="R711" s="9"/>
      <c r="S711" s="9"/>
      <c r="T711" s="9"/>
      <c r="U711" s="9"/>
      <c r="V711" s="9"/>
      <c r="W711" s="9"/>
      <c r="X711" s="9"/>
      <c r="Y711" s="9"/>
      <c r="Z711" s="9"/>
      <c r="AA711" s="9"/>
    </row>
    <row r="712" spans="1:27">
      <c r="A712" s="9"/>
      <c r="B712" s="9"/>
      <c r="C712" s="5"/>
      <c r="D712" s="5"/>
      <c r="E712" s="5"/>
      <c r="F712" s="9"/>
      <c r="G712" s="9"/>
      <c r="H712" s="9"/>
      <c r="I712" s="9"/>
      <c r="J712" s="9"/>
      <c r="K712" s="9"/>
      <c r="L712" s="9"/>
      <c r="M712" s="9"/>
      <c r="N712" s="9"/>
      <c r="O712" s="9"/>
      <c r="P712" s="9"/>
      <c r="Q712" s="9"/>
      <c r="R712" s="9"/>
      <c r="S712" s="9"/>
      <c r="T712" s="9"/>
      <c r="U712" s="9"/>
      <c r="V712" s="9"/>
      <c r="W712" s="9"/>
      <c r="X712" s="9"/>
      <c r="Y712" s="9"/>
      <c r="Z712" s="9"/>
      <c r="AA712" s="9"/>
    </row>
    <row r="713" spans="1:27">
      <c r="A713" s="9"/>
      <c r="B713" s="9"/>
      <c r="C713" s="5"/>
      <c r="D713" s="5"/>
      <c r="E713" s="5"/>
      <c r="F713" s="9"/>
      <c r="G713" s="9"/>
      <c r="H713" s="9"/>
      <c r="I713" s="9"/>
      <c r="J713" s="9"/>
      <c r="K713" s="9"/>
      <c r="L713" s="9"/>
      <c r="M713" s="9"/>
      <c r="N713" s="9"/>
      <c r="O713" s="9"/>
      <c r="P713" s="9"/>
      <c r="Q713" s="9"/>
      <c r="R713" s="9"/>
      <c r="S713" s="9"/>
      <c r="T713" s="9"/>
      <c r="U713" s="9"/>
      <c r="V713" s="9"/>
      <c r="W713" s="9"/>
      <c r="X713" s="9"/>
      <c r="Y713" s="9"/>
      <c r="Z713" s="9"/>
      <c r="AA713" s="9"/>
    </row>
    <row r="714" spans="1:27">
      <c r="A714" s="9"/>
      <c r="B714" s="9"/>
      <c r="C714" s="5"/>
      <c r="D714" s="5"/>
      <c r="E714" s="5"/>
      <c r="F714" s="9"/>
      <c r="G714" s="9"/>
      <c r="H714" s="9"/>
      <c r="I714" s="9"/>
      <c r="J714" s="9"/>
      <c r="K714" s="9"/>
      <c r="L714" s="9"/>
      <c r="M714" s="9"/>
      <c r="N714" s="9"/>
      <c r="O714" s="9"/>
      <c r="P714" s="9"/>
      <c r="Q714" s="9"/>
      <c r="R714" s="9"/>
      <c r="S714" s="9"/>
      <c r="T714" s="9"/>
      <c r="U714" s="9"/>
      <c r="V714" s="9"/>
      <c r="W714" s="9"/>
      <c r="X714" s="9"/>
      <c r="Y714" s="9"/>
      <c r="Z714" s="9"/>
      <c r="AA714" s="9"/>
    </row>
    <row r="715" spans="1:27">
      <c r="A715" s="9"/>
      <c r="B715" s="9"/>
      <c r="C715" s="5"/>
      <c r="D715" s="5"/>
      <c r="E715" s="5"/>
      <c r="F715" s="9"/>
      <c r="G715" s="9"/>
      <c r="H715" s="9"/>
      <c r="I715" s="9"/>
      <c r="J715" s="9"/>
      <c r="K715" s="9"/>
      <c r="L715" s="9"/>
      <c r="M715" s="9"/>
      <c r="N715" s="9"/>
      <c r="O715" s="9"/>
      <c r="P715" s="9"/>
      <c r="Q715" s="9"/>
      <c r="R715" s="9"/>
      <c r="S715" s="9"/>
      <c r="T715" s="9"/>
      <c r="U715" s="9"/>
      <c r="V715" s="9"/>
      <c r="W715" s="9"/>
      <c r="X715" s="9"/>
      <c r="Y715" s="9"/>
      <c r="Z715" s="9"/>
      <c r="AA715" s="9"/>
    </row>
    <row r="716" spans="1:27">
      <c r="A716" s="9"/>
      <c r="B716" s="9"/>
      <c r="C716" s="5"/>
      <c r="D716" s="5"/>
      <c r="E716" s="5"/>
      <c r="F716" s="9"/>
      <c r="G716" s="9"/>
      <c r="H716" s="9"/>
      <c r="I716" s="9"/>
      <c r="J716" s="9"/>
      <c r="K716" s="9"/>
      <c r="L716" s="9"/>
      <c r="M716" s="9"/>
      <c r="N716" s="9"/>
      <c r="O716" s="9"/>
      <c r="P716" s="9"/>
      <c r="Q716" s="9"/>
      <c r="R716" s="9"/>
      <c r="S716" s="9"/>
      <c r="T716" s="9"/>
      <c r="U716" s="9"/>
      <c r="V716" s="9"/>
      <c r="W716" s="9"/>
      <c r="X716" s="9"/>
      <c r="Y716" s="9"/>
      <c r="Z716" s="9"/>
      <c r="AA716" s="9"/>
    </row>
    <row r="717" spans="1:27">
      <c r="A717" s="9"/>
      <c r="B717" s="9"/>
      <c r="C717" s="5"/>
      <c r="D717" s="5"/>
      <c r="E717" s="5"/>
      <c r="F717" s="9"/>
      <c r="G717" s="9"/>
      <c r="H717" s="9"/>
      <c r="I717" s="9"/>
      <c r="J717" s="9"/>
      <c r="K717" s="9"/>
      <c r="L717" s="9"/>
      <c r="M717" s="9"/>
      <c r="N717" s="9"/>
      <c r="O717" s="9"/>
      <c r="P717" s="9"/>
      <c r="Q717" s="9"/>
      <c r="R717" s="9"/>
      <c r="S717" s="9"/>
      <c r="T717" s="9"/>
      <c r="U717" s="9"/>
      <c r="V717" s="9"/>
      <c r="W717" s="9"/>
      <c r="X717" s="9"/>
      <c r="Y717" s="9"/>
      <c r="Z717" s="9"/>
      <c r="AA717" s="9"/>
    </row>
    <row r="718" spans="1:27">
      <c r="A718" s="9"/>
      <c r="B718" s="9"/>
      <c r="C718" s="5"/>
      <c r="D718" s="5"/>
      <c r="E718" s="5"/>
      <c r="F718" s="9"/>
      <c r="G718" s="9"/>
      <c r="H718" s="9"/>
      <c r="I718" s="9"/>
      <c r="J718" s="9"/>
      <c r="K718" s="9"/>
      <c r="L718" s="9"/>
      <c r="M718" s="9"/>
      <c r="N718" s="9"/>
      <c r="O718" s="9"/>
      <c r="P718" s="9"/>
      <c r="Q718" s="9"/>
      <c r="R718" s="9"/>
      <c r="S718" s="9"/>
      <c r="T718" s="9"/>
      <c r="U718" s="9"/>
      <c r="V718" s="9"/>
      <c r="W718" s="9"/>
      <c r="X718" s="9"/>
      <c r="Y718" s="9"/>
      <c r="Z718" s="9"/>
      <c r="AA718" s="9"/>
    </row>
    <row r="719" spans="1:27">
      <c r="A719" s="9"/>
      <c r="B719" s="9"/>
      <c r="C719" s="5"/>
      <c r="D719" s="5"/>
      <c r="E719" s="5"/>
      <c r="F719" s="9"/>
      <c r="G719" s="9"/>
      <c r="H719" s="9"/>
      <c r="I719" s="9"/>
      <c r="J719" s="9"/>
      <c r="K719" s="9"/>
      <c r="L719" s="9"/>
      <c r="M719" s="9"/>
      <c r="N719" s="9"/>
      <c r="O719" s="9"/>
      <c r="P719" s="9"/>
      <c r="Q719" s="9"/>
      <c r="R719" s="9"/>
      <c r="S719" s="9"/>
      <c r="T719" s="9"/>
      <c r="U719" s="9"/>
      <c r="V719" s="9"/>
      <c r="W719" s="9"/>
      <c r="X719" s="9"/>
      <c r="Y719" s="9"/>
      <c r="Z719" s="9"/>
      <c r="AA719" s="9"/>
    </row>
    <row r="720" spans="1:27">
      <c r="A720" s="9"/>
      <c r="B720" s="9"/>
      <c r="C720" s="5"/>
      <c r="D720" s="5"/>
      <c r="E720" s="5"/>
      <c r="F720" s="9"/>
      <c r="G720" s="9"/>
      <c r="H720" s="9"/>
      <c r="I720" s="9"/>
      <c r="J720" s="9"/>
      <c r="K720" s="9"/>
      <c r="L720" s="9"/>
      <c r="M720" s="9"/>
      <c r="N720" s="9"/>
      <c r="O720" s="9"/>
      <c r="P720" s="9"/>
      <c r="Q720" s="9"/>
      <c r="R720" s="9"/>
      <c r="S720" s="9"/>
      <c r="T720" s="9"/>
      <c r="U720" s="9"/>
      <c r="V720" s="9"/>
      <c r="W720" s="9"/>
      <c r="X720" s="9"/>
      <c r="Y720" s="9"/>
      <c r="Z720" s="9"/>
      <c r="AA720" s="9"/>
    </row>
    <row r="721" spans="1:27">
      <c r="A721" s="9"/>
      <c r="B721" s="9"/>
      <c r="C721" s="5"/>
      <c r="D721" s="5"/>
      <c r="E721" s="5"/>
      <c r="F721" s="9"/>
      <c r="G721" s="9"/>
      <c r="H721" s="9"/>
      <c r="I721" s="9"/>
      <c r="J721" s="9"/>
      <c r="K721" s="9"/>
      <c r="L721" s="9"/>
      <c r="M721" s="9"/>
      <c r="N721" s="9"/>
      <c r="O721" s="9"/>
      <c r="P721" s="9"/>
      <c r="Q721" s="9"/>
      <c r="R721" s="9"/>
      <c r="S721" s="9"/>
      <c r="T721" s="9"/>
      <c r="U721" s="9"/>
      <c r="V721" s="9"/>
      <c r="W721" s="9"/>
      <c r="X721" s="9"/>
      <c r="Y721" s="9"/>
      <c r="Z721" s="9"/>
      <c r="AA721" s="9"/>
    </row>
    <row r="722" spans="1:27">
      <c r="A722" s="9"/>
      <c r="B722" s="9"/>
      <c r="C722" s="5"/>
      <c r="D722" s="5"/>
      <c r="E722" s="5"/>
      <c r="F722" s="9"/>
      <c r="G722" s="9"/>
      <c r="H722" s="9"/>
      <c r="I722" s="9"/>
      <c r="J722" s="9"/>
      <c r="K722" s="9"/>
      <c r="L722" s="9"/>
      <c r="M722" s="9"/>
      <c r="N722" s="9"/>
      <c r="O722" s="9"/>
      <c r="P722" s="9"/>
      <c r="Q722" s="9"/>
      <c r="R722" s="9"/>
      <c r="S722" s="9"/>
      <c r="T722" s="9"/>
      <c r="U722" s="9"/>
      <c r="V722" s="9"/>
      <c r="W722" s="9"/>
      <c r="X722" s="9"/>
      <c r="Y722" s="9"/>
      <c r="Z722" s="9"/>
      <c r="AA722" s="9"/>
    </row>
    <row r="723" spans="1:27">
      <c r="A723" s="9"/>
      <c r="B723" s="9"/>
      <c r="C723" s="5"/>
      <c r="D723" s="5"/>
      <c r="E723" s="5"/>
      <c r="F723" s="9"/>
      <c r="G723" s="9"/>
      <c r="H723" s="9"/>
      <c r="I723" s="9"/>
      <c r="J723" s="9"/>
      <c r="K723" s="9"/>
      <c r="L723" s="9"/>
      <c r="M723" s="9"/>
      <c r="N723" s="9"/>
      <c r="O723" s="9"/>
      <c r="P723" s="9"/>
      <c r="Q723" s="9"/>
      <c r="R723" s="9"/>
      <c r="S723" s="9"/>
      <c r="T723" s="9"/>
      <c r="U723" s="9"/>
      <c r="V723" s="9"/>
      <c r="W723" s="9"/>
      <c r="X723" s="9"/>
      <c r="Y723" s="9"/>
      <c r="Z723" s="9"/>
      <c r="AA723" s="9"/>
    </row>
    <row r="724" spans="1:27">
      <c r="A724" s="9"/>
      <c r="B724" s="9"/>
      <c r="C724" s="5"/>
      <c r="D724" s="5"/>
      <c r="E724" s="5"/>
      <c r="F724" s="9"/>
      <c r="G724" s="9"/>
      <c r="H724" s="9"/>
      <c r="I724" s="9"/>
      <c r="J724" s="9"/>
      <c r="K724" s="9"/>
      <c r="L724" s="9"/>
      <c r="M724" s="9"/>
      <c r="N724" s="9"/>
      <c r="O724" s="9"/>
      <c r="P724" s="9"/>
      <c r="Q724" s="9"/>
      <c r="R724" s="9"/>
      <c r="S724" s="9"/>
      <c r="T724" s="9"/>
      <c r="U724" s="9"/>
      <c r="V724" s="9"/>
      <c r="W724" s="9"/>
      <c r="X724" s="9"/>
      <c r="Y724" s="9"/>
      <c r="Z724" s="9"/>
      <c r="AA724" s="9"/>
    </row>
    <row r="725" spans="1:27">
      <c r="A725" s="9"/>
      <c r="B725" s="9"/>
      <c r="C725" s="5"/>
      <c r="D725" s="5"/>
      <c r="E725" s="5"/>
      <c r="F725" s="9"/>
      <c r="G725" s="9"/>
      <c r="H725" s="9"/>
      <c r="I725" s="9"/>
      <c r="J725" s="9"/>
      <c r="K725" s="9"/>
      <c r="L725" s="9"/>
      <c r="M725" s="9"/>
      <c r="N725" s="9"/>
      <c r="O725" s="9"/>
      <c r="P725" s="9"/>
      <c r="Q725" s="9"/>
      <c r="R725" s="9"/>
      <c r="S725" s="9"/>
      <c r="T725" s="9"/>
      <c r="U725" s="9"/>
      <c r="V725" s="9"/>
      <c r="W725" s="9"/>
      <c r="X725" s="9"/>
      <c r="Y725" s="9"/>
      <c r="Z725" s="9"/>
      <c r="AA725" s="9"/>
    </row>
    <row r="726" spans="1:27">
      <c r="A726" s="9"/>
      <c r="B726" s="9"/>
      <c r="C726" s="5"/>
      <c r="D726" s="5"/>
      <c r="E726" s="5"/>
      <c r="F726" s="9"/>
      <c r="G726" s="9"/>
      <c r="H726" s="9"/>
      <c r="I726" s="9"/>
      <c r="J726" s="9"/>
      <c r="K726" s="9"/>
      <c r="L726" s="9"/>
      <c r="M726" s="9"/>
      <c r="N726" s="9"/>
      <c r="O726" s="9"/>
      <c r="P726" s="9"/>
      <c r="Q726" s="9"/>
      <c r="R726" s="9"/>
      <c r="S726" s="9"/>
      <c r="T726" s="9"/>
      <c r="U726" s="9"/>
      <c r="V726" s="9"/>
      <c r="W726" s="9"/>
      <c r="X726" s="9"/>
      <c r="Y726" s="9"/>
      <c r="Z726" s="9"/>
      <c r="AA726" s="9"/>
    </row>
    <row r="727" spans="1:27">
      <c r="A727" s="9"/>
      <c r="B727" s="9"/>
      <c r="C727" s="5"/>
      <c r="D727" s="5"/>
      <c r="E727" s="5"/>
      <c r="F727" s="9"/>
      <c r="G727" s="9"/>
      <c r="H727" s="9"/>
      <c r="I727" s="9"/>
      <c r="J727" s="9"/>
      <c r="K727" s="9"/>
      <c r="L727" s="9"/>
      <c r="M727" s="9"/>
      <c r="N727" s="9"/>
      <c r="O727" s="9"/>
      <c r="P727" s="9"/>
      <c r="Q727" s="9"/>
      <c r="R727" s="9"/>
      <c r="S727" s="9"/>
      <c r="T727" s="9"/>
      <c r="U727" s="9"/>
      <c r="V727" s="9"/>
      <c r="W727" s="9"/>
      <c r="X727" s="9"/>
      <c r="Y727" s="9"/>
      <c r="Z727" s="9"/>
      <c r="AA727" s="9"/>
    </row>
    <row r="728" spans="1:27">
      <c r="A728" s="9"/>
      <c r="B728" s="9"/>
      <c r="C728" s="5"/>
      <c r="D728" s="5"/>
      <c r="E728" s="5"/>
      <c r="F728" s="9"/>
      <c r="G728" s="9"/>
      <c r="H728" s="9"/>
      <c r="I728" s="9"/>
      <c r="J728" s="9"/>
      <c r="K728" s="9"/>
      <c r="L728" s="9"/>
      <c r="M728" s="9"/>
      <c r="N728" s="9"/>
      <c r="O728" s="9"/>
      <c r="P728" s="9"/>
      <c r="Q728" s="9"/>
      <c r="R728" s="9"/>
      <c r="S728" s="9"/>
      <c r="T728" s="9"/>
      <c r="U728" s="9"/>
      <c r="V728" s="9"/>
      <c r="W728" s="9"/>
      <c r="X728" s="9"/>
      <c r="Y728" s="9"/>
      <c r="Z728" s="9"/>
      <c r="AA728" s="9"/>
    </row>
    <row r="729" spans="1:27">
      <c r="A729" s="9"/>
      <c r="B729" s="9"/>
      <c r="C729" s="5"/>
      <c r="D729" s="5"/>
      <c r="E729" s="5"/>
      <c r="F729" s="9"/>
      <c r="G729" s="9"/>
      <c r="H729" s="9"/>
      <c r="I729" s="9"/>
      <c r="J729" s="9"/>
      <c r="K729" s="9"/>
      <c r="L729" s="9"/>
      <c r="M729" s="9"/>
      <c r="N729" s="9"/>
      <c r="O729" s="9"/>
      <c r="P729" s="9"/>
      <c r="Q729" s="9"/>
      <c r="R729" s="9"/>
      <c r="S729" s="9"/>
      <c r="T729" s="9"/>
      <c r="U729" s="9"/>
      <c r="V729" s="9"/>
      <c r="W729" s="9"/>
      <c r="X729" s="9"/>
      <c r="Y729" s="9"/>
      <c r="Z729" s="9"/>
      <c r="AA729" s="9"/>
    </row>
    <row r="730" spans="1:27">
      <c r="A730" s="9"/>
      <c r="B730" s="9"/>
      <c r="C730" s="5"/>
      <c r="D730" s="5"/>
      <c r="E730" s="5"/>
      <c r="F730" s="9"/>
      <c r="G730" s="9"/>
      <c r="H730" s="9"/>
      <c r="I730" s="9"/>
      <c r="J730" s="9"/>
      <c r="K730" s="9"/>
      <c r="L730" s="9"/>
      <c r="M730" s="9"/>
      <c r="N730" s="9"/>
      <c r="O730" s="9"/>
      <c r="P730" s="9"/>
      <c r="Q730" s="9"/>
      <c r="R730" s="9"/>
      <c r="S730" s="9"/>
      <c r="T730" s="9"/>
      <c r="U730" s="9"/>
      <c r="V730" s="9"/>
      <c r="W730" s="9"/>
      <c r="X730" s="9"/>
      <c r="Y730" s="9"/>
      <c r="Z730" s="9"/>
      <c r="AA730" s="9"/>
    </row>
    <row r="731" spans="1:27">
      <c r="A731" s="9"/>
      <c r="B731" s="9"/>
      <c r="C731" s="5"/>
      <c r="D731" s="5"/>
      <c r="E731" s="5"/>
      <c r="F731" s="9"/>
      <c r="G731" s="9"/>
      <c r="H731" s="9"/>
      <c r="I731" s="9"/>
      <c r="J731" s="9"/>
      <c r="K731" s="9"/>
      <c r="L731" s="9"/>
      <c r="M731" s="9"/>
      <c r="N731" s="9"/>
      <c r="O731" s="9"/>
      <c r="P731" s="9"/>
      <c r="Q731" s="9"/>
      <c r="R731" s="9"/>
      <c r="S731" s="9"/>
      <c r="T731" s="9"/>
      <c r="U731" s="9"/>
      <c r="V731" s="9"/>
      <c r="W731" s="9"/>
      <c r="X731" s="9"/>
      <c r="Y731" s="9"/>
      <c r="Z731" s="9"/>
      <c r="AA731" s="9"/>
    </row>
    <row r="732" spans="1:27">
      <c r="A732" s="9"/>
      <c r="B732" s="9"/>
      <c r="C732" s="5"/>
      <c r="D732" s="5"/>
      <c r="E732" s="5"/>
      <c r="F732" s="9"/>
      <c r="G732" s="9"/>
      <c r="H732" s="9"/>
      <c r="I732" s="9"/>
      <c r="J732" s="9"/>
      <c r="K732" s="9"/>
      <c r="L732" s="9"/>
      <c r="M732" s="9"/>
      <c r="N732" s="9"/>
      <c r="O732" s="9"/>
      <c r="P732" s="9"/>
      <c r="Q732" s="9"/>
      <c r="R732" s="9"/>
      <c r="S732" s="9"/>
      <c r="T732" s="9"/>
      <c r="U732" s="9"/>
      <c r="V732" s="9"/>
      <c r="W732" s="9"/>
      <c r="X732" s="9"/>
      <c r="Y732" s="9"/>
      <c r="Z732" s="9"/>
      <c r="AA732" s="9"/>
    </row>
    <row r="733" spans="1:27">
      <c r="A733" s="9"/>
      <c r="B733" s="9"/>
      <c r="C733" s="5"/>
      <c r="D733" s="5"/>
      <c r="E733" s="5"/>
      <c r="F733" s="9"/>
      <c r="G733" s="9"/>
      <c r="H733" s="9"/>
      <c r="I733" s="9"/>
      <c r="J733" s="9"/>
      <c r="K733" s="9"/>
      <c r="L733" s="9"/>
      <c r="M733" s="9"/>
      <c r="N733" s="9"/>
      <c r="O733" s="9"/>
      <c r="P733" s="9"/>
      <c r="Q733" s="9"/>
      <c r="R733" s="9"/>
      <c r="S733" s="9"/>
      <c r="T733" s="9"/>
      <c r="U733" s="9"/>
      <c r="V733" s="9"/>
      <c r="W733" s="9"/>
      <c r="X733" s="9"/>
      <c r="Y733" s="9"/>
      <c r="Z733" s="9"/>
      <c r="AA733" s="9"/>
    </row>
    <row r="734" spans="1:27">
      <c r="A734" s="9"/>
      <c r="B734" s="9"/>
      <c r="C734" s="5"/>
      <c r="D734" s="5"/>
      <c r="E734" s="5"/>
      <c r="F734" s="9"/>
      <c r="G734" s="9"/>
      <c r="H734" s="9"/>
      <c r="I734" s="9"/>
      <c r="J734" s="9"/>
      <c r="K734" s="9"/>
      <c r="L734" s="9"/>
      <c r="M734" s="9"/>
      <c r="N734" s="9"/>
      <c r="O734" s="9"/>
      <c r="P734" s="9"/>
      <c r="Q734" s="9"/>
      <c r="R734" s="9"/>
      <c r="S734" s="9"/>
      <c r="T734" s="9"/>
      <c r="U734" s="9"/>
      <c r="V734" s="9"/>
      <c r="W734" s="9"/>
      <c r="X734" s="9"/>
      <c r="Y734" s="9"/>
      <c r="Z734" s="9"/>
      <c r="AA734" s="9"/>
    </row>
    <row r="735" spans="1:27">
      <c r="A735" s="9"/>
      <c r="B735" s="9"/>
      <c r="C735" s="5"/>
      <c r="D735" s="5"/>
      <c r="E735" s="5"/>
      <c r="F735" s="9"/>
      <c r="G735" s="9"/>
      <c r="H735" s="9"/>
      <c r="I735" s="9"/>
      <c r="J735" s="9"/>
      <c r="K735" s="9"/>
      <c r="L735" s="9"/>
      <c r="M735" s="9"/>
      <c r="N735" s="9"/>
      <c r="O735" s="9"/>
      <c r="P735" s="9"/>
      <c r="Q735" s="9"/>
      <c r="R735" s="9"/>
      <c r="S735" s="9"/>
      <c r="T735" s="9"/>
      <c r="U735" s="9"/>
      <c r="V735" s="9"/>
      <c r="W735" s="9"/>
      <c r="X735" s="9"/>
      <c r="Y735" s="9"/>
      <c r="Z735" s="9"/>
      <c r="AA735" s="9"/>
    </row>
    <row r="736" spans="1:27">
      <c r="A736" s="9"/>
      <c r="B736" s="9"/>
      <c r="C736" s="5"/>
      <c r="D736" s="5"/>
      <c r="E736" s="5"/>
      <c r="F736" s="9"/>
      <c r="G736" s="9"/>
      <c r="H736" s="9"/>
      <c r="I736" s="9"/>
      <c r="J736" s="9"/>
      <c r="K736" s="9"/>
      <c r="L736" s="9"/>
      <c r="M736" s="9"/>
      <c r="N736" s="9"/>
      <c r="O736" s="9"/>
      <c r="P736" s="9"/>
      <c r="Q736" s="9"/>
      <c r="R736" s="9"/>
      <c r="S736" s="9"/>
      <c r="T736" s="9"/>
      <c r="U736" s="9"/>
      <c r="V736" s="9"/>
      <c r="W736" s="9"/>
      <c r="X736" s="9"/>
      <c r="Y736" s="9"/>
      <c r="Z736" s="9"/>
      <c r="AA736" s="9"/>
    </row>
    <row r="737" spans="1:27">
      <c r="A737" s="9"/>
      <c r="B737" s="9"/>
      <c r="C737" s="5"/>
      <c r="D737" s="5"/>
      <c r="E737" s="5"/>
      <c r="F737" s="9"/>
      <c r="G737" s="9"/>
      <c r="H737" s="9"/>
      <c r="I737" s="9"/>
      <c r="J737" s="9"/>
      <c r="K737" s="9"/>
      <c r="L737" s="9"/>
      <c r="M737" s="9"/>
      <c r="N737" s="9"/>
      <c r="O737" s="9"/>
      <c r="P737" s="9"/>
      <c r="Q737" s="9"/>
      <c r="R737" s="9"/>
      <c r="S737" s="9"/>
      <c r="T737" s="9"/>
      <c r="U737" s="9"/>
      <c r="V737" s="9"/>
      <c r="W737" s="9"/>
      <c r="X737" s="9"/>
      <c r="Y737" s="9"/>
      <c r="Z737" s="9"/>
      <c r="AA737" s="9"/>
    </row>
    <row r="738" spans="1:27">
      <c r="A738" s="9"/>
      <c r="B738" s="9"/>
      <c r="C738" s="5"/>
      <c r="D738" s="5"/>
      <c r="E738" s="5"/>
      <c r="F738" s="9"/>
      <c r="G738" s="9"/>
      <c r="H738" s="9"/>
      <c r="I738" s="9"/>
      <c r="J738" s="9"/>
      <c r="K738" s="9"/>
      <c r="L738" s="9"/>
      <c r="M738" s="9"/>
      <c r="N738" s="9"/>
      <c r="O738" s="9"/>
      <c r="P738" s="9"/>
      <c r="Q738" s="9"/>
      <c r="R738" s="9"/>
      <c r="S738" s="9"/>
      <c r="T738" s="9"/>
      <c r="U738" s="9"/>
      <c r="V738" s="9"/>
      <c r="W738" s="9"/>
      <c r="X738" s="9"/>
      <c r="Y738" s="9"/>
      <c r="Z738" s="9"/>
      <c r="AA738" s="9"/>
    </row>
    <row r="739" spans="1:27">
      <c r="A739" s="9"/>
      <c r="B739" s="9"/>
      <c r="C739" s="5"/>
      <c r="D739" s="5"/>
      <c r="E739" s="5"/>
      <c r="F739" s="9"/>
      <c r="G739" s="9"/>
      <c r="H739" s="9"/>
      <c r="I739" s="9"/>
      <c r="J739" s="9"/>
      <c r="K739" s="9"/>
      <c r="L739" s="9"/>
      <c r="M739" s="9"/>
      <c r="N739" s="9"/>
      <c r="O739" s="9"/>
      <c r="P739" s="9"/>
      <c r="Q739" s="9"/>
      <c r="R739" s="9"/>
      <c r="S739" s="9"/>
      <c r="T739" s="9"/>
      <c r="U739" s="9"/>
      <c r="V739" s="9"/>
      <c r="W739" s="9"/>
      <c r="X739" s="9"/>
      <c r="Y739" s="9"/>
      <c r="Z739" s="9"/>
      <c r="AA739" s="9"/>
    </row>
    <row r="740" spans="1:27">
      <c r="A740" s="9"/>
      <c r="B740" s="9"/>
      <c r="C740" s="5"/>
      <c r="D740" s="5"/>
      <c r="E740" s="5"/>
      <c r="F740" s="9"/>
      <c r="G740" s="9"/>
      <c r="H740" s="9"/>
      <c r="I740" s="9"/>
      <c r="J740" s="9"/>
      <c r="K740" s="9"/>
      <c r="L740" s="9"/>
      <c r="M740" s="9"/>
      <c r="N740" s="9"/>
      <c r="O740" s="9"/>
      <c r="P740" s="9"/>
      <c r="Q740" s="9"/>
      <c r="R740" s="9"/>
      <c r="S740" s="9"/>
      <c r="T740" s="9"/>
      <c r="U740" s="9"/>
      <c r="V740" s="9"/>
      <c r="W740" s="9"/>
      <c r="X740" s="9"/>
      <c r="Y740" s="9"/>
      <c r="Z740" s="9"/>
      <c r="AA740" s="9"/>
    </row>
    <row r="741" spans="1:27">
      <c r="A741" s="9"/>
      <c r="B741" s="9"/>
      <c r="C741" s="5"/>
      <c r="D741" s="5"/>
      <c r="E741" s="5"/>
      <c r="F741" s="9"/>
      <c r="G741" s="9"/>
      <c r="H741" s="9"/>
      <c r="I741" s="9"/>
      <c r="J741" s="9"/>
      <c r="K741" s="9"/>
      <c r="L741" s="9"/>
      <c r="M741" s="9"/>
      <c r="N741" s="9"/>
      <c r="O741" s="9"/>
      <c r="P741" s="9"/>
      <c r="Q741" s="9"/>
      <c r="R741" s="9"/>
      <c r="S741" s="9"/>
      <c r="T741" s="9"/>
      <c r="U741" s="9"/>
      <c r="V741" s="9"/>
      <c r="W741" s="9"/>
      <c r="X741" s="9"/>
      <c r="Y741" s="9"/>
      <c r="Z741" s="9"/>
      <c r="AA741" s="9"/>
    </row>
    <row r="742" spans="1:27">
      <c r="A742" s="9"/>
      <c r="B742" s="9"/>
      <c r="C742" s="5"/>
      <c r="D742" s="5"/>
      <c r="E742" s="5"/>
      <c r="F742" s="9"/>
      <c r="G742" s="9"/>
      <c r="H742" s="9"/>
      <c r="I742" s="9"/>
      <c r="J742" s="9"/>
      <c r="K742" s="9"/>
      <c r="L742" s="9"/>
      <c r="M742" s="9"/>
      <c r="N742" s="9"/>
      <c r="O742" s="9"/>
      <c r="P742" s="9"/>
      <c r="Q742" s="9"/>
      <c r="R742" s="9"/>
      <c r="S742" s="9"/>
      <c r="T742" s="9"/>
      <c r="U742" s="9"/>
      <c r="V742" s="9"/>
      <c r="W742" s="9"/>
      <c r="X742" s="9"/>
      <c r="Y742" s="9"/>
      <c r="Z742" s="9"/>
      <c r="AA742" s="9"/>
    </row>
    <row r="743" spans="1:27">
      <c r="A743" s="9"/>
      <c r="B743" s="9"/>
      <c r="C743" s="5"/>
      <c r="D743" s="5"/>
      <c r="E743" s="5"/>
      <c r="F743" s="9"/>
      <c r="G743" s="9"/>
      <c r="H743" s="9"/>
      <c r="I743" s="9"/>
      <c r="J743" s="9"/>
      <c r="K743" s="9"/>
      <c r="L743" s="9"/>
      <c r="M743" s="9"/>
      <c r="N743" s="9"/>
      <c r="O743" s="9"/>
      <c r="P743" s="9"/>
      <c r="Q743" s="9"/>
      <c r="R743" s="9"/>
      <c r="S743" s="9"/>
      <c r="T743" s="9"/>
      <c r="U743" s="9"/>
      <c r="V743" s="9"/>
      <c r="W743" s="9"/>
      <c r="X743" s="9"/>
      <c r="Y743" s="9"/>
      <c r="Z743" s="9"/>
      <c r="AA743" s="9"/>
    </row>
    <row r="744" spans="1:27">
      <c r="A744" s="9"/>
      <c r="B744" s="9"/>
      <c r="C744" s="5"/>
      <c r="D744" s="5"/>
      <c r="E744" s="5"/>
      <c r="F744" s="9"/>
      <c r="G744" s="9"/>
      <c r="H744" s="9"/>
      <c r="I744" s="9"/>
      <c r="J744" s="9"/>
      <c r="K744" s="9"/>
      <c r="L744" s="9"/>
      <c r="M744" s="9"/>
      <c r="N744" s="9"/>
      <c r="O744" s="9"/>
      <c r="P744" s="9"/>
      <c r="Q744" s="9"/>
      <c r="R744" s="9"/>
      <c r="S744" s="9"/>
      <c r="T744" s="9"/>
      <c r="U744" s="9"/>
      <c r="V744" s="9"/>
      <c r="W744" s="9"/>
      <c r="X744" s="9"/>
      <c r="Y744" s="9"/>
      <c r="Z744" s="9"/>
      <c r="AA744" s="9"/>
    </row>
    <row r="745" spans="1:27">
      <c r="A745" s="9"/>
      <c r="B745" s="9"/>
      <c r="C745" s="5"/>
      <c r="D745" s="5"/>
      <c r="E745" s="5"/>
      <c r="F745" s="9"/>
      <c r="G745" s="9"/>
      <c r="H745" s="9"/>
      <c r="I745" s="9"/>
      <c r="J745" s="9"/>
      <c r="K745" s="9"/>
      <c r="L745" s="9"/>
      <c r="M745" s="9"/>
      <c r="N745" s="9"/>
      <c r="O745" s="9"/>
      <c r="P745" s="9"/>
      <c r="Q745" s="9"/>
      <c r="R745" s="9"/>
      <c r="S745" s="9"/>
      <c r="T745" s="9"/>
      <c r="U745" s="9"/>
      <c r="V745" s="9"/>
      <c r="W745" s="9"/>
      <c r="X745" s="9"/>
      <c r="Y745" s="9"/>
      <c r="Z745" s="9"/>
      <c r="AA745" s="9"/>
    </row>
    <row r="746" spans="1:27">
      <c r="A746" s="9"/>
      <c r="B746" s="9"/>
      <c r="C746" s="5"/>
      <c r="D746" s="5"/>
      <c r="E746" s="5"/>
      <c r="F746" s="9"/>
      <c r="G746" s="9"/>
      <c r="H746" s="9"/>
      <c r="I746" s="9"/>
      <c r="J746" s="9"/>
      <c r="K746" s="9"/>
      <c r="L746" s="9"/>
      <c r="M746" s="9"/>
      <c r="N746" s="9"/>
      <c r="O746" s="9"/>
      <c r="P746" s="9"/>
      <c r="Q746" s="9"/>
      <c r="R746" s="9"/>
      <c r="S746" s="9"/>
      <c r="T746" s="9"/>
      <c r="U746" s="9"/>
      <c r="V746" s="9"/>
      <c r="W746" s="9"/>
      <c r="X746" s="9"/>
      <c r="Y746" s="9"/>
      <c r="Z746" s="9"/>
      <c r="AA746" s="9"/>
    </row>
    <row r="747" spans="1:27">
      <c r="A747" s="9"/>
      <c r="B747" s="9"/>
      <c r="C747" s="5"/>
      <c r="D747" s="5"/>
      <c r="E747" s="5"/>
      <c r="F747" s="9"/>
      <c r="G747" s="9"/>
      <c r="H747" s="9"/>
      <c r="I747" s="9"/>
      <c r="J747" s="9"/>
      <c r="K747" s="9"/>
      <c r="L747" s="9"/>
      <c r="M747" s="9"/>
      <c r="N747" s="9"/>
      <c r="O747" s="9"/>
      <c r="P747" s="9"/>
      <c r="Q747" s="9"/>
      <c r="R747" s="9"/>
      <c r="S747" s="9"/>
      <c r="T747" s="9"/>
      <c r="U747" s="9"/>
      <c r="V747" s="9"/>
      <c r="W747" s="9"/>
      <c r="X747" s="9"/>
      <c r="Y747" s="9"/>
      <c r="Z747" s="9"/>
      <c r="AA747" s="9"/>
    </row>
    <row r="748" spans="1:27">
      <c r="A748" s="9"/>
      <c r="B748" s="9"/>
      <c r="C748" s="5"/>
      <c r="D748" s="5"/>
      <c r="E748" s="5"/>
      <c r="F748" s="9"/>
      <c r="G748" s="9"/>
      <c r="H748" s="9"/>
      <c r="I748" s="9"/>
      <c r="J748" s="9"/>
      <c r="K748" s="9"/>
      <c r="L748" s="9"/>
      <c r="M748" s="9"/>
      <c r="N748" s="9"/>
      <c r="O748" s="9"/>
      <c r="P748" s="9"/>
      <c r="Q748" s="9"/>
      <c r="R748" s="9"/>
      <c r="S748" s="9"/>
      <c r="T748" s="9"/>
      <c r="U748" s="9"/>
      <c r="V748" s="9"/>
      <c r="W748" s="9"/>
      <c r="X748" s="9"/>
      <c r="Y748" s="9"/>
      <c r="Z748" s="9"/>
      <c r="AA748" s="9"/>
    </row>
    <row r="749" spans="1:27">
      <c r="A749" s="9"/>
      <c r="B749" s="9"/>
      <c r="C749" s="5"/>
      <c r="D749" s="5"/>
      <c r="E749" s="5"/>
      <c r="F749" s="9"/>
      <c r="G749" s="9"/>
      <c r="H749" s="9"/>
      <c r="I749" s="9"/>
      <c r="J749" s="9"/>
      <c r="K749" s="9"/>
      <c r="L749" s="9"/>
      <c r="M749" s="9"/>
      <c r="N749" s="9"/>
      <c r="O749" s="9"/>
      <c r="P749" s="9"/>
      <c r="Q749" s="9"/>
      <c r="R749" s="9"/>
      <c r="S749" s="9"/>
      <c r="T749" s="9"/>
      <c r="U749" s="9"/>
      <c r="V749" s="9"/>
      <c r="W749" s="9"/>
      <c r="X749" s="9"/>
      <c r="Y749" s="9"/>
      <c r="Z749" s="9"/>
      <c r="AA749" s="9"/>
    </row>
    <row r="750" spans="1:27">
      <c r="A750" s="9"/>
      <c r="B750" s="9"/>
      <c r="C750" s="5"/>
      <c r="D750" s="5"/>
      <c r="E750" s="5"/>
      <c r="F750" s="9"/>
      <c r="G750" s="9"/>
      <c r="H750" s="9"/>
      <c r="I750" s="9"/>
      <c r="J750" s="9"/>
      <c r="K750" s="9"/>
      <c r="L750" s="9"/>
      <c r="M750" s="9"/>
      <c r="N750" s="9"/>
      <c r="O750" s="9"/>
      <c r="P750" s="9"/>
      <c r="Q750" s="9"/>
      <c r="R750" s="9"/>
      <c r="S750" s="9"/>
      <c r="T750" s="9"/>
      <c r="U750" s="9"/>
      <c r="V750" s="9"/>
      <c r="W750" s="9"/>
      <c r="X750" s="9"/>
      <c r="Y750" s="9"/>
      <c r="Z750" s="9"/>
      <c r="AA750" s="9"/>
    </row>
    <row r="751" spans="1:27">
      <c r="A751" s="9"/>
      <c r="B751" s="9"/>
      <c r="C751" s="5"/>
      <c r="D751" s="5"/>
      <c r="E751" s="5"/>
      <c r="F751" s="9"/>
      <c r="G751" s="9"/>
      <c r="H751" s="9"/>
      <c r="I751" s="9"/>
      <c r="J751" s="9"/>
      <c r="K751" s="9"/>
      <c r="L751" s="9"/>
      <c r="M751" s="9"/>
      <c r="N751" s="9"/>
      <c r="O751" s="9"/>
      <c r="P751" s="9"/>
      <c r="Q751" s="9"/>
      <c r="R751" s="9"/>
      <c r="S751" s="9"/>
      <c r="T751" s="9"/>
      <c r="U751" s="9"/>
      <c r="V751" s="9"/>
      <c r="W751" s="9"/>
      <c r="X751" s="9"/>
      <c r="Y751" s="9"/>
      <c r="Z751" s="9"/>
      <c r="AA751" s="9"/>
    </row>
    <row r="752" spans="1:27">
      <c r="A752" s="9"/>
      <c r="B752" s="9"/>
      <c r="C752" s="5"/>
      <c r="D752" s="5"/>
      <c r="E752" s="5"/>
      <c r="F752" s="9"/>
      <c r="G752" s="9"/>
      <c r="H752" s="9"/>
      <c r="I752" s="9"/>
      <c r="J752" s="9"/>
      <c r="K752" s="9"/>
      <c r="L752" s="9"/>
      <c r="M752" s="9"/>
      <c r="N752" s="9"/>
      <c r="O752" s="9"/>
      <c r="P752" s="9"/>
      <c r="Q752" s="9"/>
      <c r="R752" s="9"/>
      <c r="S752" s="9"/>
      <c r="T752" s="9"/>
      <c r="U752" s="9"/>
      <c r="V752" s="9"/>
      <c r="W752" s="9"/>
      <c r="X752" s="9"/>
      <c r="Y752" s="9"/>
      <c r="Z752" s="9"/>
      <c r="AA752" s="9"/>
    </row>
    <row r="753" spans="1:27">
      <c r="A753" s="9"/>
      <c r="B753" s="9"/>
      <c r="C753" s="5"/>
      <c r="D753" s="5"/>
      <c r="E753" s="5"/>
      <c r="F753" s="9"/>
      <c r="G753" s="9"/>
      <c r="H753" s="9"/>
      <c r="I753" s="9"/>
      <c r="J753" s="9"/>
      <c r="K753" s="9"/>
      <c r="L753" s="9"/>
      <c r="M753" s="9"/>
      <c r="N753" s="9"/>
      <c r="O753" s="9"/>
      <c r="P753" s="9"/>
      <c r="Q753" s="9"/>
      <c r="R753" s="9"/>
      <c r="S753" s="9"/>
      <c r="T753" s="9"/>
      <c r="U753" s="9"/>
      <c r="V753" s="9"/>
      <c r="W753" s="9"/>
      <c r="X753" s="9"/>
      <c r="Y753" s="9"/>
      <c r="Z753" s="9"/>
      <c r="AA753" s="9"/>
    </row>
    <row r="754" spans="1:27">
      <c r="A754" s="9"/>
      <c r="B754" s="9"/>
      <c r="C754" s="5"/>
      <c r="D754" s="5"/>
      <c r="E754" s="5"/>
      <c r="F754" s="9"/>
      <c r="G754" s="9"/>
      <c r="H754" s="9"/>
      <c r="I754" s="9"/>
      <c r="J754" s="9"/>
      <c r="K754" s="9"/>
      <c r="L754" s="9"/>
      <c r="M754" s="9"/>
      <c r="N754" s="9"/>
      <c r="O754" s="9"/>
      <c r="P754" s="9"/>
      <c r="Q754" s="9"/>
      <c r="R754" s="9"/>
      <c r="S754" s="9"/>
      <c r="T754" s="9"/>
      <c r="U754" s="9"/>
      <c r="V754" s="9"/>
      <c r="W754" s="9"/>
      <c r="X754" s="9"/>
      <c r="Y754" s="9"/>
      <c r="Z754" s="9"/>
      <c r="AA754" s="9"/>
    </row>
    <row r="755" spans="1:27">
      <c r="A755" s="9"/>
      <c r="B755" s="9"/>
      <c r="C755" s="5"/>
      <c r="D755" s="5"/>
      <c r="E755" s="5"/>
      <c r="F755" s="9"/>
      <c r="G755" s="9"/>
      <c r="H755" s="9"/>
      <c r="I755" s="9"/>
      <c r="J755" s="9"/>
      <c r="K755" s="9"/>
      <c r="L755" s="9"/>
      <c r="M755" s="9"/>
      <c r="N755" s="9"/>
      <c r="O755" s="9"/>
      <c r="P755" s="9"/>
      <c r="Q755" s="9"/>
      <c r="R755" s="9"/>
      <c r="S755" s="9"/>
      <c r="T755" s="9"/>
      <c r="U755" s="9"/>
      <c r="V755" s="9"/>
      <c r="W755" s="9"/>
      <c r="X755" s="9"/>
      <c r="Y755" s="9"/>
      <c r="Z755" s="9"/>
      <c r="AA755" s="9"/>
    </row>
    <row r="756" spans="1:27">
      <c r="A756" s="9"/>
      <c r="B756" s="9"/>
      <c r="C756" s="5"/>
      <c r="D756" s="5"/>
      <c r="E756" s="5"/>
      <c r="F756" s="9"/>
      <c r="G756" s="9"/>
      <c r="H756" s="9"/>
      <c r="I756" s="9"/>
      <c r="J756" s="9"/>
      <c r="K756" s="9"/>
      <c r="L756" s="9"/>
      <c r="M756" s="9"/>
      <c r="N756" s="9"/>
      <c r="O756" s="9"/>
      <c r="P756" s="9"/>
      <c r="Q756" s="9"/>
      <c r="R756" s="9"/>
      <c r="S756" s="9"/>
      <c r="T756" s="9"/>
      <c r="U756" s="9"/>
      <c r="V756" s="9"/>
      <c r="W756" s="9"/>
      <c r="X756" s="9"/>
      <c r="Y756" s="9"/>
      <c r="Z756" s="9"/>
      <c r="AA756" s="9"/>
    </row>
    <row r="757" spans="1:27">
      <c r="A757" s="9"/>
      <c r="B757" s="9"/>
      <c r="C757" s="5"/>
      <c r="D757" s="5"/>
      <c r="E757" s="5"/>
      <c r="F757" s="9"/>
      <c r="G757" s="9"/>
      <c r="H757" s="9"/>
      <c r="I757" s="9"/>
      <c r="J757" s="9"/>
      <c r="K757" s="9"/>
      <c r="L757" s="9"/>
      <c r="M757" s="9"/>
      <c r="N757" s="9"/>
      <c r="O757" s="9"/>
      <c r="P757" s="9"/>
      <c r="Q757" s="9"/>
      <c r="R757" s="9"/>
      <c r="S757" s="9"/>
      <c r="T757" s="9"/>
      <c r="U757" s="9"/>
      <c r="V757" s="9"/>
      <c r="W757" s="9"/>
      <c r="X757" s="9"/>
      <c r="Y757" s="9"/>
      <c r="Z757" s="9"/>
      <c r="AA757" s="9"/>
    </row>
    <row r="758" spans="1:27">
      <c r="A758" s="9"/>
      <c r="B758" s="9"/>
      <c r="C758" s="5"/>
      <c r="D758" s="5"/>
      <c r="E758" s="5"/>
      <c r="F758" s="9"/>
      <c r="G758" s="9"/>
      <c r="H758" s="9"/>
      <c r="I758" s="9"/>
      <c r="J758" s="9"/>
      <c r="K758" s="9"/>
      <c r="L758" s="9"/>
      <c r="M758" s="9"/>
      <c r="N758" s="9"/>
      <c r="O758" s="9"/>
      <c r="P758" s="9"/>
      <c r="Q758" s="9"/>
      <c r="R758" s="9"/>
      <c r="S758" s="9"/>
      <c r="T758" s="9"/>
      <c r="U758" s="9"/>
      <c r="V758" s="9"/>
      <c r="W758" s="9"/>
      <c r="X758" s="9"/>
      <c r="Y758" s="9"/>
      <c r="Z758" s="9"/>
      <c r="AA758" s="9"/>
    </row>
    <row r="759" spans="1:27">
      <c r="A759" s="9"/>
      <c r="B759" s="9"/>
      <c r="C759" s="5"/>
      <c r="D759" s="5"/>
      <c r="E759" s="5"/>
      <c r="F759" s="9"/>
      <c r="G759" s="9"/>
      <c r="H759" s="9"/>
      <c r="I759" s="9"/>
      <c r="J759" s="9"/>
      <c r="K759" s="9"/>
      <c r="L759" s="9"/>
      <c r="M759" s="9"/>
      <c r="N759" s="9"/>
      <c r="O759" s="9"/>
      <c r="P759" s="9"/>
      <c r="Q759" s="9"/>
      <c r="R759" s="9"/>
      <c r="S759" s="9"/>
      <c r="T759" s="9"/>
      <c r="U759" s="9"/>
      <c r="V759" s="9"/>
      <c r="W759" s="9"/>
      <c r="X759" s="9"/>
      <c r="Y759" s="9"/>
      <c r="Z759" s="9"/>
      <c r="AA759" s="9"/>
    </row>
    <row r="760" spans="1:27">
      <c r="A760" s="9"/>
      <c r="B760" s="9"/>
      <c r="C760" s="5"/>
      <c r="D760" s="5"/>
      <c r="E760" s="5"/>
      <c r="F760" s="9"/>
      <c r="G760" s="9"/>
      <c r="H760" s="9"/>
      <c r="I760" s="9"/>
      <c r="J760" s="9"/>
      <c r="K760" s="9"/>
      <c r="L760" s="9"/>
      <c r="M760" s="9"/>
      <c r="N760" s="9"/>
      <c r="O760" s="9"/>
      <c r="P760" s="9"/>
      <c r="Q760" s="9"/>
      <c r="R760" s="9"/>
      <c r="S760" s="9"/>
      <c r="T760" s="9"/>
      <c r="U760" s="9"/>
      <c r="V760" s="9"/>
      <c r="W760" s="9"/>
      <c r="X760" s="9"/>
      <c r="Y760" s="9"/>
      <c r="Z760" s="9"/>
      <c r="AA760" s="9"/>
    </row>
    <row r="761" spans="1:27">
      <c r="A761" s="9"/>
      <c r="B761" s="9"/>
      <c r="C761" s="5"/>
      <c r="D761" s="5"/>
      <c r="E761" s="5"/>
      <c r="F761" s="9"/>
      <c r="G761" s="9"/>
      <c r="H761" s="9"/>
      <c r="I761" s="9"/>
      <c r="J761" s="9"/>
      <c r="K761" s="9"/>
      <c r="L761" s="9"/>
      <c r="M761" s="9"/>
      <c r="N761" s="9"/>
      <c r="O761" s="9"/>
      <c r="P761" s="9"/>
      <c r="Q761" s="9"/>
      <c r="R761" s="9"/>
      <c r="S761" s="9"/>
      <c r="T761" s="9"/>
      <c r="U761" s="9"/>
      <c r="V761" s="9"/>
      <c r="W761" s="9"/>
      <c r="X761" s="9"/>
      <c r="Y761" s="9"/>
      <c r="Z761" s="9"/>
      <c r="AA761" s="9"/>
    </row>
    <row r="762" spans="1:27">
      <c r="A762" s="9"/>
      <c r="B762" s="9"/>
      <c r="C762" s="5"/>
      <c r="D762" s="5"/>
      <c r="E762" s="5"/>
      <c r="F762" s="9"/>
      <c r="G762" s="9"/>
      <c r="H762" s="9"/>
      <c r="I762" s="9"/>
      <c r="J762" s="9"/>
      <c r="K762" s="9"/>
      <c r="L762" s="9"/>
      <c r="M762" s="9"/>
      <c r="N762" s="9"/>
      <c r="O762" s="9"/>
      <c r="P762" s="9"/>
      <c r="Q762" s="9"/>
      <c r="R762" s="9"/>
      <c r="S762" s="9"/>
      <c r="T762" s="9"/>
      <c r="U762" s="9"/>
      <c r="V762" s="9"/>
      <c r="W762" s="9"/>
      <c r="X762" s="9"/>
      <c r="Y762" s="9"/>
      <c r="Z762" s="9"/>
      <c r="AA762" s="9"/>
    </row>
    <row r="763" spans="1:27">
      <c r="A763" s="9"/>
      <c r="B763" s="9"/>
      <c r="C763" s="5"/>
      <c r="D763" s="5"/>
      <c r="E763" s="5"/>
      <c r="F763" s="9"/>
      <c r="G763" s="9"/>
      <c r="H763" s="9"/>
      <c r="I763" s="9"/>
      <c r="J763" s="9"/>
      <c r="K763" s="9"/>
      <c r="L763" s="9"/>
      <c r="M763" s="9"/>
      <c r="N763" s="9"/>
      <c r="O763" s="9"/>
      <c r="P763" s="9"/>
      <c r="Q763" s="9"/>
      <c r="R763" s="9"/>
      <c r="S763" s="9"/>
      <c r="T763" s="9"/>
      <c r="U763" s="9"/>
      <c r="V763" s="9"/>
      <c r="W763" s="9"/>
      <c r="X763" s="9"/>
      <c r="Y763" s="9"/>
      <c r="Z763" s="9"/>
      <c r="AA763" s="9"/>
    </row>
    <row r="764" spans="1:27">
      <c r="A764" s="9"/>
      <c r="B764" s="9"/>
      <c r="C764" s="5"/>
      <c r="D764" s="5"/>
      <c r="E764" s="5"/>
      <c r="F764" s="9"/>
      <c r="G764" s="9"/>
      <c r="H764" s="9"/>
      <c r="I764" s="9"/>
      <c r="J764" s="9"/>
      <c r="K764" s="9"/>
      <c r="L764" s="9"/>
      <c r="M764" s="9"/>
      <c r="N764" s="9"/>
      <c r="O764" s="9"/>
      <c r="P764" s="9"/>
      <c r="Q764" s="9"/>
      <c r="R764" s="9"/>
      <c r="S764" s="9"/>
      <c r="T764" s="9"/>
      <c r="U764" s="9"/>
      <c r="V764" s="9"/>
      <c r="W764" s="9"/>
      <c r="X764" s="9"/>
      <c r="Y764" s="9"/>
      <c r="Z764" s="9"/>
      <c r="AA764" s="9"/>
    </row>
    <row r="765" spans="1:27">
      <c r="A765" s="9"/>
      <c r="B765" s="9"/>
      <c r="C765" s="5"/>
      <c r="D765" s="5"/>
      <c r="E765" s="5"/>
      <c r="F765" s="9"/>
      <c r="G765" s="9"/>
      <c r="H765" s="9"/>
      <c r="I765" s="9"/>
      <c r="J765" s="9"/>
      <c r="K765" s="9"/>
      <c r="L765" s="9"/>
      <c r="M765" s="9"/>
      <c r="N765" s="9"/>
      <c r="O765" s="9"/>
      <c r="P765" s="9"/>
      <c r="Q765" s="9"/>
      <c r="R765" s="9"/>
      <c r="S765" s="9"/>
      <c r="T765" s="9"/>
      <c r="U765" s="9"/>
      <c r="V765" s="9"/>
      <c r="W765" s="9"/>
      <c r="X765" s="9"/>
      <c r="Y765" s="9"/>
      <c r="Z765" s="9"/>
      <c r="AA765" s="9"/>
    </row>
    <row r="766" spans="1:27">
      <c r="A766" s="9"/>
      <c r="B766" s="9"/>
      <c r="C766" s="5"/>
      <c r="D766" s="5"/>
      <c r="E766" s="5"/>
      <c r="F766" s="9"/>
      <c r="G766" s="9"/>
      <c r="H766" s="9"/>
      <c r="I766" s="9"/>
      <c r="J766" s="9"/>
      <c r="K766" s="9"/>
      <c r="L766" s="9"/>
      <c r="M766" s="9"/>
      <c r="N766" s="9"/>
      <c r="O766" s="9"/>
      <c r="P766" s="9"/>
      <c r="Q766" s="9"/>
      <c r="R766" s="9"/>
      <c r="S766" s="9"/>
      <c r="T766" s="9"/>
      <c r="U766" s="9"/>
      <c r="V766" s="9"/>
      <c r="W766" s="9"/>
      <c r="X766" s="9"/>
      <c r="Y766" s="9"/>
      <c r="Z766" s="9"/>
      <c r="AA766" s="9"/>
    </row>
    <row r="767" spans="1:27">
      <c r="A767" s="9"/>
      <c r="B767" s="9"/>
      <c r="C767" s="5"/>
      <c r="D767" s="5"/>
      <c r="E767" s="5"/>
      <c r="F767" s="9"/>
      <c r="G767" s="9"/>
      <c r="H767" s="9"/>
      <c r="I767" s="9"/>
      <c r="J767" s="9"/>
      <c r="K767" s="9"/>
      <c r="L767" s="9"/>
      <c r="M767" s="9"/>
      <c r="N767" s="9"/>
      <c r="O767" s="9"/>
      <c r="P767" s="9"/>
      <c r="Q767" s="9"/>
      <c r="R767" s="9"/>
      <c r="S767" s="9"/>
      <c r="T767" s="9"/>
      <c r="U767" s="9"/>
      <c r="V767" s="9"/>
      <c r="W767" s="9"/>
      <c r="X767" s="9"/>
      <c r="Y767" s="9"/>
      <c r="Z767" s="9"/>
      <c r="AA767" s="9"/>
    </row>
    <row r="768" spans="1:27">
      <c r="A768" s="9"/>
      <c r="B768" s="9"/>
      <c r="C768" s="5"/>
      <c r="D768" s="5"/>
      <c r="E768" s="5"/>
      <c r="F768" s="9"/>
      <c r="G768" s="9"/>
      <c r="H768" s="9"/>
      <c r="I768" s="9"/>
      <c r="J768" s="9"/>
      <c r="K768" s="9"/>
      <c r="L768" s="9"/>
      <c r="M768" s="9"/>
      <c r="N768" s="9"/>
      <c r="O768" s="9"/>
      <c r="P768" s="9"/>
      <c r="Q768" s="9"/>
      <c r="R768" s="9"/>
      <c r="S768" s="9"/>
      <c r="T768" s="9"/>
      <c r="U768" s="9"/>
      <c r="V768" s="9"/>
      <c r="W768" s="9"/>
      <c r="X768" s="9"/>
      <c r="Y768" s="9"/>
      <c r="Z768" s="9"/>
      <c r="AA768" s="9"/>
    </row>
    <row r="769" spans="1:27">
      <c r="A769" s="9"/>
      <c r="B769" s="9"/>
      <c r="C769" s="5"/>
      <c r="D769" s="5"/>
      <c r="E769" s="5"/>
      <c r="F769" s="9"/>
      <c r="G769" s="9"/>
      <c r="H769" s="9"/>
      <c r="I769" s="9"/>
      <c r="J769" s="9"/>
      <c r="K769" s="9"/>
      <c r="L769" s="9"/>
      <c r="M769" s="9"/>
      <c r="N769" s="9"/>
      <c r="O769" s="9"/>
      <c r="P769" s="9"/>
      <c r="Q769" s="9"/>
      <c r="R769" s="9"/>
      <c r="S769" s="9"/>
      <c r="T769" s="9"/>
      <c r="U769" s="9"/>
      <c r="V769" s="9"/>
      <c r="W769" s="9"/>
      <c r="X769" s="9"/>
      <c r="Y769" s="9"/>
      <c r="Z769" s="9"/>
      <c r="AA769" s="9"/>
    </row>
    <row r="770" spans="1:27">
      <c r="A770" s="9"/>
      <c r="B770" s="9"/>
      <c r="C770" s="5"/>
      <c r="D770" s="5"/>
      <c r="E770" s="5"/>
      <c r="F770" s="9"/>
      <c r="G770" s="9"/>
      <c r="H770" s="9"/>
      <c r="I770" s="9"/>
      <c r="J770" s="9"/>
      <c r="K770" s="9"/>
      <c r="L770" s="9"/>
      <c r="M770" s="9"/>
      <c r="N770" s="9"/>
      <c r="O770" s="9"/>
      <c r="P770" s="9"/>
      <c r="Q770" s="9"/>
      <c r="R770" s="9"/>
      <c r="S770" s="9"/>
      <c r="T770" s="9"/>
      <c r="U770" s="9"/>
      <c r="V770" s="9"/>
      <c r="W770" s="9"/>
      <c r="X770" s="9"/>
      <c r="Y770" s="9"/>
      <c r="Z770" s="9"/>
      <c r="AA770" s="9"/>
    </row>
    <row r="771" spans="1:27">
      <c r="A771" s="9"/>
      <c r="B771" s="9"/>
      <c r="C771" s="5"/>
      <c r="D771" s="5"/>
      <c r="E771" s="5"/>
      <c r="F771" s="9"/>
      <c r="G771" s="9"/>
      <c r="H771" s="9"/>
      <c r="I771" s="9"/>
      <c r="J771" s="9"/>
      <c r="K771" s="9"/>
      <c r="L771" s="9"/>
      <c r="M771" s="9"/>
      <c r="N771" s="9"/>
      <c r="O771" s="9"/>
      <c r="P771" s="9"/>
      <c r="Q771" s="9"/>
      <c r="R771" s="9"/>
      <c r="S771" s="9"/>
      <c r="T771" s="9"/>
      <c r="U771" s="9"/>
      <c r="V771" s="9"/>
      <c r="W771" s="9"/>
      <c r="X771" s="9"/>
      <c r="Y771" s="9"/>
      <c r="Z771" s="9"/>
      <c r="AA771" s="9"/>
    </row>
    <row r="772" spans="1:27">
      <c r="A772" s="9"/>
      <c r="B772" s="9"/>
      <c r="C772" s="5"/>
      <c r="D772" s="5"/>
      <c r="E772" s="5"/>
      <c r="F772" s="9"/>
      <c r="G772" s="9"/>
      <c r="H772" s="9"/>
      <c r="I772" s="9"/>
      <c r="J772" s="9"/>
      <c r="K772" s="9"/>
      <c r="L772" s="9"/>
      <c r="M772" s="9"/>
      <c r="N772" s="9"/>
      <c r="O772" s="9"/>
      <c r="P772" s="9"/>
      <c r="Q772" s="9"/>
      <c r="R772" s="9"/>
      <c r="S772" s="9"/>
      <c r="T772" s="9"/>
      <c r="U772" s="9"/>
      <c r="V772" s="9"/>
      <c r="W772" s="9"/>
      <c r="X772" s="9"/>
      <c r="Y772" s="9"/>
      <c r="Z772" s="9"/>
      <c r="AA772" s="9"/>
    </row>
    <row r="773" spans="1:27">
      <c r="A773" s="9"/>
      <c r="B773" s="9"/>
      <c r="C773" s="5"/>
      <c r="D773" s="5"/>
      <c r="E773" s="5"/>
      <c r="F773" s="9"/>
      <c r="G773" s="9"/>
      <c r="H773" s="9"/>
      <c r="I773" s="9"/>
      <c r="J773" s="9"/>
      <c r="K773" s="9"/>
      <c r="L773" s="9"/>
      <c r="M773" s="9"/>
      <c r="N773" s="9"/>
      <c r="O773" s="9"/>
      <c r="P773" s="9"/>
      <c r="Q773" s="9"/>
      <c r="R773" s="9"/>
      <c r="S773" s="9"/>
      <c r="T773" s="9"/>
      <c r="U773" s="9"/>
      <c r="V773" s="9"/>
      <c r="W773" s="9"/>
      <c r="X773" s="9"/>
      <c r="Y773" s="9"/>
      <c r="Z773" s="9"/>
      <c r="AA773" s="9"/>
    </row>
    <row r="774" spans="1:27">
      <c r="A774" s="9"/>
      <c r="B774" s="9"/>
      <c r="C774" s="5"/>
      <c r="D774" s="5"/>
      <c r="E774" s="5"/>
      <c r="F774" s="9"/>
      <c r="G774" s="9"/>
      <c r="H774" s="9"/>
      <c r="I774" s="9"/>
      <c r="J774" s="9"/>
      <c r="K774" s="9"/>
      <c r="L774" s="9"/>
      <c r="M774" s="9"/>
      <c r="N774" s="9"/>
      <c r="O774" s="9"/>
      <c r="P774" s="9"/>
      <c r="Q774" s="9"/>
      <c r="R774" s="9"/>
      <c r="S774" s="9"/>
      <c r="T774" s="9"/>
      <c r="U774" s="9"/>
      <c r="V774" s="9"/>
      <c r="W774" s="9"/>
      <c r="X774" s="9"/>
      <c r="Y774" s="9"/>
      <c r="Z774" s="9"/>
      <c r="AA774" s="9"/>
    </row>
    <row r="775" spans="1:27">
      <c r="A775" s="9"/>
      <c r="B775" s="9"/>
      <c r="C775" s="5"/>
      <c r="D775" s="5"/>
      <c r="E775" s="5"/>
      <c r="F775" s="9"/>
      <c r="G775" s="9"/>
      <c r="H775" s="9"/>
      <c r="I775" s="9"/>
      <c r="J775" s="9"/>
      <c r="K775" s="9"/>
      <c r="L775" s="9"/>
      <c r="M775" s="9"/>
      <c r="N775" s="9"/>
      <c r="O775" s="9"/>
      <c r="P775" s="9"/>
      <c r="Q775" s="9"/>
      <c r="R775" s="9"/>
      <c r="S775" s="9"/>
      <c r="T775" s="9"/>
      <c r="U775" s="9"/>
      <c r="V775" s="9"/>
      <c r="W775" s="9"/>
      <c r="X775" s="9"/>
      <c r="Y775" s="9"/>
      <c r="Z775" s="9"/>
      <c r="AA775" s="9"/>
    </row>
    <row r="776" spans="1:27">
      <c r="A776" s="9"/>
      <c r="B776" s="9"/>
      <c r="C776" s="5"/>
      <c r="D776" s="5"/>
      <c r="E776" s="5"/>
      <c r="F776" s="9"/>
      <c r="G776" s="9"/>
      <c r="H776" s="9"/>
      <c r="I776" s="9"/>
      <c r="J776" s="9"/>
      <c r="K776" s="9"/>
      <c r="L776" s="9"/>
      <c r="M776" s="9"/>
      <c r="N776" s="9"/>
      <c r="O776" s="9"/>
      <c r="P776" s="9"/>
      <c r="Q776" s="9"/>
      <c r="R776" s="9"/>
      <c r="S776" s="9"/>
      <c r="T776" s="9"/>
      <c r="U776" s="9"/>
      <c r="V776" s="9"/>
      <c r="W776" s="9"/>
      <c r="X776" s="9"/>
      <c r="Y776" s="9"/>
      <c r="Z776" s="9"/>
      <c r="AA776" s="9"/>
    </row>
    <row r="777" spans="1:27">
      <c r="A777" s="9"/>
      <c r="B777" s="9"/>
      <c r="C777" s="5"/>
      <c r="D777" s="5"/>
      <c r="E777" s="5"/>
      <c r="F777" s="9"/>
      <c r="G777" s="9"/>
      <c r="H777" s="9"/>
      <c r="I777" s="9"/>
      <c r="J777" s="9"/>
      <c r="K777" s="9"/>
      <c r="L777" s="9"/>
      <c r="M777" s="9"/>
      <c r="N777" s="9"/>
      <c r="O777" s="9"/>
      <c r="P777" s="9"/>
      <c r="Q777" s="9"/>
      <c r="R777" s="9"/>
      <c r="S777" s="9"/>
      <c r="T777" s="9"/>
      <c r="U777" s="9"/>
      <c r="V777" s="9"/>
      <c r="W777" s="9"/>
      <c r="X777" s="9"/>
      <c r="Y777" s="9"/>
      <c r="Z777" s="9"/>
      <c r="AA777" s="9"/>
    </row>
    <row r="778" spans="1:27">
      <c r="A778" s="9"/>
      <c r="B778" s="9"/>
      <c r="C778" s="5"/>
      <c r="D778" s="5"/>
      <c r="E778" s="5"/>
      <c r="F778" s="9"/>
      <c r="G778" s="9"/>
      <c r="H778" s="9"/>
      <c r="I778" s="9"/>
      <c r="J778" s="9"/>
      <c r="K778" s="9"/>
      <c r="L778" s="9"/>
      <c r="M778" s="9"/>
      <c r="N778" s="9"/>
      <c r="O778" s="9"/>
      <c r="P778" s="9"/>
      <c r="Q778" s="9"/>
      <c r="R778" s="9"/>
      <c r="S778" s="9"/>
      <c r="T778" s="9"/>
      <c r="U778" s="9"/>
      <c r="V778" s="9"/>
      <c r="W778" s="9"/>
      <c r="X778" s="9"/>
      <c r="Y778" s="9"/>
      <c r="Z778" s="9"/>
      <c r="AA778" s="9"/>
    </row>
    <row r="779" spans="1:27">
      <c r="A779" s="9"/>
      <c r="B779" s="9"/>
      <c r="C779" s="5"/>
      <c r="D779" s="5"/>
      <c r="E779" s="5"/>
      <c r="F779" s="9"/>
      <c r="G779" s="9"/>
      <c r="H779" s="9"/>
      <c r="I779" s="9"/>
      <c r="J779" s="9"/>
      <c r="K779" s="9"/>
      <c r="L779" s="9"/>
      <c r="M779" s="9"/>
      <c r="N779" s="9"/>
      <c r="O779" s="9"/>
      <c r="P779" s="9"/>
      <c r="Q779" s="9"/>
      <c r="R779" s="9"/>
      <c r="S779" s="9"/>
      <c r="T779" s="9"/>
      <c r="U779" s="9"/>
      <c r="V779" s="9"/>
      <c r="W779" s="9"/>
      <c r="X779" s="9"/>
      <c r="Y779" s="9"/>
      <c r="Z779" s="9"/>
      <c r="AA779" s="9"/>
    </row>
    <row r="780" spans="1:27">
      <c r="A780" s="9"/>
      <c r="B780" s="9"/>
      <c r="C780" s="5"/>
      <c r="D780" s="5"/>
      <c r="E780" s="5"/>
      <c r="F780" s="9"/>
      <c r="G780" s="9"/>
      <c r="H780" s="9"/>
      <c r="I780" s="9"/>
      <c r="J780" s="9"/>
      <c r="K780" s="9"/>
      <c r="L780" s="9"/>
      <c r="M780" s="9"/>
      <c r="N780" s="9"/>
      <c r="O780" s="9"/>
      <c r="P780" s="9"/>
      <c r="Q780" s="9"/>
      <c r="R780" s="9"/>
      <c r="S780" s="9"/>
      <c r="T780" s="9"/>
      <c r="U780" s="9"/>
      <c r="V780" s="9"/>
      <c r="W780" s="9"/>
      <c r="X780" s="9"/>
      <c r="Y780" s="9"/>
      <c r="Z780" s="9"/>
      <c r="AA780" s="9"/>
    </row>
    <row r="781" spans="1:27">
      <c r="A781" s="9"/>
      <c r="B781" s="9"/>
      <c r="C781" s="5"/>
      <c r="D781" s="5"/>
      <c r="E781" s="5"/>
      <c r="F781" s="9"/>
      <c r="G781" s="9"/>
      <c r="H781" s="9"/>
      <c r="I781" s="9"/>
      <c r="J781" s="9"/>
      <c r="K781" s="9"/>
      <c r="L781" s="9"/>
      <c r="M781" s="9"/>
      <c r="N781" s="9"/>
      <c r="O781" s="9"/>
      <c r="P781" s="9"/>
      <c r="Q781" s="9"/>
      <c r="R781" s="9"/>
      <c r="S781" s="9"/>
      <c r="T781" s="9"/>
      <c r="U781" s="9"/>
      <c r="V781" s="9"/>
      <c r="W781" s="9"/>
      <c r="X781" s="9"/>
      <c r="Y781" s="9"/>
      <c r="Z781" s="9"/>
      <c r="AA781" s="9"/>
    </row>
    <row r="782" spans="1:27">
      <c r="A782" s="9"/>
      <c r="B782" s="9"/>
      <c r="C782" s="5"/>
      <c r="D782" s="5"/>
      <c r="E782" s="5"/>
      <c r="F782" s="9"/>
      <c r="G782" s="9"/>
      <c r="H782" s="9"/>
      <c r="I782" s="9"/>
      <c r="J782" s="9"/>
      <c r="K782" s="9"/>
      <c r="L782" s="9"/>
      <c r="M782" s="9"/>
      <c r="N782" s="9"/>
      <c r="O782" s="9"/>
      <c r="P782" s="9"/>
      <c r="Q782" s="9"/>
      <c r="R782" s="9"/>
      <c r="S782" s="9"/>
      <c r="T782" s="9"/>
      <c r="U782" s="9"/>
      <c r="V782" s="9"/>
      <c r="W782" s="9"/>
      <c r="X782" s="9"/>
      <c r="Y782" s="9"/>
      <c r="Z782" s="9"/>
      <c r="AA782" s="9"/>
    </row>
    <row r="783" spans="1:27">
      <c r="A783" s="9"/>
      <c r="B783" s="9"/>
      <c r="C783" s="5"/>
      <c r="D783" s="5"/>
      <c r="E783" s="5"/>
      <c r="F783" s="9"/>
      <c r="G783" s="9"/>
      <c r="H783" s="9"/>
      <c r="I783" s="9"/>
      <c r="J783" s="9"/>
      <c r="K783" s="9"/>
      <c r="L783" s="9"/>
      <c r="M783" s="9"/>
      <c r="N783" s="9"/>
      <c r="O783" s="9"/>
      <c r="P783" s="9"/>
      <c r="Q783" s="9"/>
      <c r="R783" s="9"/>
      <c r="S783" s="9"/>
      <c r="T783" s="9"/>
      <c r="U783" s="9"/>
      <c r="V783" s="9"/>
      <c r="W783" s="9"/>
      <c r="X783" s="9"/>
      <c r="Y783" s="9"/>
      <c r="Z783" s="9"/>
      <c r="AA783" s="9"/>
    </row>
    <row r="784" spans="1:27">
      <c r="A784" s="9"/>
      <c r="B784" s="9"/>
      <c r="C784" s="5"/>
      <c r="D784" s="5"/>
      <c r="E784" s="5"/>
      <c r="F784" s="9"/>
      <c r="G784" s="9"/>
      <c r="H784" s="9"/>
      <c r="I784" s="9"/>
      <c r="J784" s="9"/>
      <c r="K784" s="9"/>
      <c r="L784" s="9"/>
      <c r="M784" s="9"/>
      <c r="N784" s="9"/>
      <c r="O784" s="9"/>
      <c r="P784" s="9"/>
      <c r="Q784" s="9"/>
      <c r="R784" s="9"/>
      <c r="S784" s="9"/>
      <c r="T784" s="9"/>
      <c r="U784" s="9"/>
      <c r="V784" s="9"/>
      <c r="W784" s="9"/>
      <c r="X784" s="9"/>
      <c r="Y784" s="9"/>
      <c r="Z784" s="9"/>
      <c r="AA784" s="9"/>
    </row>
    <row r="785" spans="1:27">
      <c r="A785" s="9"/>
      <c r="B785" s="9"/>
      <c r="C785" s="5"/>
      <c r="D785" s="5"/>
      <c r="E785" s="5"/>
      <c r="F785" s="9"/>
      <c r="G785" s="9"/>
      <c r="H785" s="9"/>
      <c r="I785" s="9"/>
      <c r="J785" s="9"/>
      <c r="K785" s="9"/>
      <c r="L785" s="9"/>
      <c r="M785" s="9"/>
      <c r="N785" s="9"/>
      <c r="O785" s="9"/>
      <c r="P785" s="9"/>
      <c r="Q785" s="9"/>
      <c r="R785" s="9"/>
      <c r="S785" s="9"/>
      <c r="T785" s="9"/>
      <c r="U785" s="9"/>
      <c r="V785" s="9"/>
      <c r="W785" s="9"/>
      <c r="X785" s="9"/>
      <c r="Y785" s="9"/>
      <c r="Z785" s="9"/>
      <c r="AA785" s="9"/>
    </row>
    <row r="786" spans="1:27">
      <c r="A786" s="9"/>
      <c r="B786" s="9"/>
      <c r="C786" s="5"/>
      <c r="D786" s="5"/>
      <c r="E786" s="5"/>
      <c r="F786" s="9"/>
      <c r="G786" s="9"/>
      <c r="H786" s="9"/>
      <c r="I786" s="9"/>
      <c r="J786" s="9"/>
      <c r="K786" s="9"/>
      <c r="L786" s="9"/>
      <c r="M786" s="9"/>
      <c r="N786" s="9"/>
      <c r="O786" s="9"/>
      <c r="P786" s="9"/>
      <c r="Q786" s="9"/>
      <c r="R786" s="9"/>
      <c r="S786" s="9"/>
      <c r="T786" s="9"/>
      <c r="U786" s="9"/>
      <c r="V786" s="9"/>
      <c r="W786" s="9"/>
      <c r="X786" s="9"/>
      <c r="Y786" s="9"/>
      <c r="Z786" s="9"/>
      <c r="AA786" s="9"/>
    </row>
    <row r="787" spans="1:27">
      <c r="A787" s="9"/>
      <c r="B787" s="9"/>
      <c r="C787" s="5"/>
      <c r="D787" s="5"/>
      <c r="E787" s="5"/>
      <c r="F787" s="9"/>
      <c r="G787" s="9"/>
      <c r="H787" s="9"/>
      <c r="I787" s="9"/>
      <c r="J787" s="9"/>
      <c r="K787" s="9"/>
      <c r="L787" s="9"/>
      <c r="M787" s="9"/>
      <c r="N787" s="9"/>
      <c r="O787" s="9"/>
      <c r="P787" s="9"/>
      <c r="Q787" s="9"/>
      <c r="R787" s="9"/>
      <c r="S787" s="9"/>
      <c r="T787" s="9"/>
      <c r="U787" s="9"/>
      <c r="V787" s="9"/>
      <c r="W787" s="9"/>
      <c r="X787" s="9"/>
      <c r="Y787" s="9"/>
      <c r="Z787" s="9"/>
      <c r="AA787" s="9"/>
    </row>
    <row r="788" spans="1:27">
      <c r="A788" s="9"/>
      <c r="B788" s="9"/>
      <c r="C788" s="5"/>
      <c r="D788" s="5"/>
      <c r="E788" s="5"/>
      <c r="F788" s="9"/>
      <c r="G788" s="9"/>
      <c r="H788" s="9"/>
      <c r="I788" s="9"/>
      <c r="J788" s="9"/>
      <c r="K788" s="9"/>
      <c r="L788" s="9"/>
      <c r="M788" s="9"/>
      <c r="N788" s="9"/>
      <c r="O788" s="9"/>
      <c r="P788" s="9"/>
      <c r="Q788" s="9"/>
      <c r="R788" s="9"/>
      <c r="S788" s="9"/>
      <c r="T788" s="9"/>
      <c r="U788" s="9"/>
      <c r="V788" s="9"/>
      <c r="W788" s="9"/>
      <c r="X788" s="9"/>
      <c r="Y788" s="9"/>
      <c r="Z788" s="9"/>
      <c r="AA788" s="9"/>
    </row>
    <row r="789" spans="1:27">
      <c r="A789" s="9"/>
      <c r="B789" s="9"/>
      <c r="C789" s="5"/>
      <c r="D789" s="5"/>
      <c r="E789" s="5"/>
      <c r="F789" s="9"/>
      <c r="G789" s="9"/>
      <c r="H789" s="9"/>
      <c r="I789" s="9"/>
      <c r="J789" s="9"/>
      <c r="K789" s="9"/>
      <c r="L789" s="9"/>
      <c r="M789" s="9"/>
      <c r="N789" s="9"/>
      <c r="O789" s="9"/>
      <c r="P789" s="9"/>
      <c r="Q789" s="9"/>
      <c r="R789" s="9"/>
      <c r="S789" s="9"/>
      <c r="T789" s="9"/>
      <c r="U789" s="9"/>
      <c r="V789" s="9"/>
      <c r="W789" s="9"/>
      <c r="X789" s="9"/>
      <c r="Y789" s="9"/>
      <c r="Z789" s="9"/>
      <c r="AA789" s="9"/>
    </row>
    <row r="790" spans="1:27">
      <c r="A790" s="9"/>
      <c r="B790" s="9"/>
      <c r="C790" s="5"/>
      <c r="D790" s="5"/>
      <c r="E790" s="5"/>
      <c r="F790" s="9"/>
      <c r="G790" s="9"/>
      <c r="H790" s="9"/>
      <c r="I790" s="9"/>
      <c r="J790" s="9"/>
      <c r="K790" s="9"/>
      <c r="L790" s="9"/>
      <c r="M790" s="9"/>
      <c r="N790" s="9"/>
      <c r="O790" s="9"/>
      <c r="P790" s="9"/>
      <c r="Q790" s="9"/>
      <c r="R790" s="9"/>
      <c r="S790" s="9"/>
      <c r="T790" s="9"/>
      <c r="U790" s="9"/>
      <c r="V790" s="9"/>
      <c r="W790" s="9"/>
      <c r="X790" s="9"/>
      <c r="Y790" s="9"/>
      <c r="Z790" s="9"/>
      <c r="AA790" s="9"/>
    </row>
    <row r="791" spans="1:27">
      <c r="A791" s="9"/>
      <c r="B791" s="9"/>
      <c r="C791" s="5"/>
      <c r="D791" s="5"/>
      <c r="E791" s="5"/>
      <c r="F791" s="9"/>
      <c r="G791" s="9"/>
      <c r="H791" s="9"/>
      <c r="I791" s="9"/>
      <c r="J791" s="9"/>
      <c r="K791" s="9"/>
      <c r="L791" s="9"/>
      <c r="M791" s="9"/>
      <c r="N791" s="9"/>
      <c r="O791" s="9"/>
      <c r="P791" s="9"/>
      <c r="Q791" s="9"/>
      <c r="R791" s="9"/>
      <c r="S791" s="9"/>
      <c r="T791" s="9"/>
      <c r="U791" s="9"/>
      <c r="V791" s="9"/>
      <c r="W791" s="9"/>
      <c r="X791" s="9"/>
      <c r="Y791" s="9"/>
      <c r="Z791" s="9"/>
      <c r="AA791" s="9"/>
    </row>
    <row r="792" spans="1:27">
      <c r="A792" s="9"/>
      <c r="B792" s="9"/>
      <c r="C792" s="5"/>
      <c r="D792" s="5"/>
      <c r="E792" s="5"/>
      <c r="F792" s="9"/>
      <c r="G792" s="9"/>
      <c r="H792" s="9"/>
      <c r="I792" s="9"/>
      <c r="J792" s="9"/>
      <c r="K792" s="9"/>
      <c r="L792" s="9"/>
      <c r="M792" s="9"/>
      <c r="N792" s="9"/>
      <c r="O792" s="9"/>
      <c r="P792" s="9"/>
      <c r="Q792" s="9"/>
      <c r="R792" s="9"/>
      <c r="S792" s="9"/>
      <c r="T792" s="9"/>
      <c r="U792" s="9"/>
      <c r="V792" s="9"/>
      <c r="W792" s="9"/>
      <c r="X792" s="9"/>
      <c r="Y792" s="9"/>
      <c r="Z792" s="9"/>
      <c r="AA792" s="9"/>
    </row>
    <row r="793" spans="1:27">
      <c r="A793" s="9"/>
      <c r="B793" s="9"/>
      <c r="C793" s="5"/>
      <c r="D793" s="5"/>
      <c r="E793" s="5"/>
      <c r="F793" s="9"/>
      <c r="G793" s="9"/>
      <c r="H793" s="9"/>
      <c r="I793" s="9"/>
      <c r="J793" s="9"/>
      <c r="K793" s="9"/>
      <c r="L793" s="9"/>
      <c r="M793" s="9"/>
      <c r="N793" s="9"/>
      <c r="O793" s="9"/>
      <c r="P793" s="9"/>
      <c r="Q793" s="9"/>
      <c r="R793" s="9"/>
      <c r="S793" s="9"/>
      <c r="T793" s="9"/>
      <c r="U793" s="9"/>
      <c r="V793" s="9"/>
      <c r="W793" s="9"/>
      <c r="X793" s="9"/>
      <c r="Y793" s="9"/>
      <c r="Z793" s="9"/>
      <c r="AA793" s="9"/>
    </row>
    <row r="794" spans="1:27">
      <c r="A794" s="9"/>
      <c r="B794" s="9"/>
      <c r="C794" s="5"/>
      <c r="D794" s="5"/>
      <c r="E794" s="5"/>
      <c r="F794" s="9"/>
      <c r="G794" s="9"/>
      <c r="H794" s="9"/>
      <c r="I794" s="9"/>
      <c r="J794" s="9"/>
      <c r="K794" s="9"/>
      <c r="L794" s="9"/>
      <c r="M794" s="9"/>
      <c r="N794" s="9"/>
      <c r="O794" s="9"/>
      <c r="P794" s="9"/>
      <c r="Q794" s="9"/>
      <c r="R794" s="9"/>
      <c r="S794" s="9"/>
      <c r="T794" s="9"/>
      <c r="U794" s="9"/>
      <c r="V794" s="9"/>
      <c r="W794" s="9"/>
      <c r="X794" s="9"/>
      <c r="Y794" s="9"/>
      <c r="Z794" s="9"/>
      <c r="AA794" s="9"/>
    </row>
    <row r="795" spans="1:27">
      <c r="A795" s="9"/>
      <c r="B795" s="9"/>
      <c r="C795" s="5"/>
      <c r="D795" s="5"/>
      <c r="E795" s="5"/>
      <c r="F795" s="9"/>
      <c r="G795" s="9"/>
      <c r="H795" s="9"/>
      <c r="I795" s="9"/>
      <c r="J795" s="9"/>
      <c r="K795" s="9"/>
      <c r="L795" s="9"/>
      <c r="M795" s="9"/>
      <c r="N795" s="9"/>
      <c r="O795" s="9"/>
      <c r="P795" s="9"/>
      <c r="Q795" s="9"/>
      <c r="R795" s="9"/>
      <c r="S795" s="9"/>
      <c r="T795" s="9"/>
      <c r="U795" s="9"/>
      <c r="V795" s="9"/>
      <c r="W795" s="9"/>
      <c r="X795" s="9"/>
      <c r="Y795" s="9"/>
      <c r="Z795" s="9"/>
      <c r="AA795" s="9"/>
    </row>
    <row r="796" spans="1:27">
      <c r="A796" s="9"/>
      <c r="B796" s="9"/>
      <c r="C796" s="5"/>
      <c r="D796" s="5"/>
      <c r="E796" s="5"/>
      <c r="F796" s="9"/>
      <c r="G796" s="9"/>
      <c r="H796" s="9"/>
      <c r="I796" s="9"/>
      <c r="J796" s="9"/>
      <c r="K796" s="9"/>
      <c r="L796" s="9"/>
      <c r="M796" s="9"/>
      <c r="N796" s="9"/>
      <c r="O796" s="9"/>
      <c r="P796" s="9"/>
      <c r="Q796" s="9"/>
      <c r="R796" s="9"/>
      <c r="S796" s="9"/>
      <c r="T796" s="9"/>
      <c r="U796" s="9"/>
      <c r="V796" s="9"/>
      <c r="W796" s="9"/>
      <c r="X796" s="9"/>
      <c r="Y796" s="9"/>
      <c r="Z796" s="9"/>
      <c r="AA796" s="9"/>
    </row>
    <row r="797" spans="1:27">
      <c r="A797" s="9"/>
      <c r="B797" s="9"/>
      <c r="C797" s="5"/>
      <c r="D797" s="5"/>
      <c r="E797" s="5"/>
      <c r="F797" s="9"/>
      <c r="G797" s="9"/>
      <c r="H797" s="9"/>
      <c r="I797" s="9"/>
      <c r="J797" s="9"/>
      <c r="K797" s="9"/>
      <c r="L797" s="9"/>
      <c r="M797" s="9"/>
      <c r="N797" s="9"/>
      <c r="O797" s="9"/>
      <c r="P797" s="9"/>
      <c r="Q797" s="9"/>
      <c r="R797" s="9"/>
      <c r="S797" s="9"/>
      <c r="T797" s="9"/>
      <c r="U797" s="9"/>
      <c r="V797" s="9"/>
      <c r="W797" s="9"/>
      <c r="X797" s="9"/>
      <c r="Y797" s="9"/>
      <c r="Z797" s="9"/>
      <c r="AA797" s="9"/>
    </row>
    <row r="798" spans="1:27">
      <c r="A798" s="9"/>
      <c r="B798" s="9"/>
      <c r="C798" s="5"/>
      <c r="D798" s="5"/>
      <c r="E798" s="5"/>
      <c r="F798" s="9"/>
      <c r="G798" s="9"/>
      <c r="H798" s="9"/>
      <c r="I798" s="9"/>
      <c r="J798" s="9"/>
      <c r="K798" s="9"/>
      <c r="L798" s="9"/>
      <c r="M798" s="9"/>
      <c r="N798" s="9"/>
      <c r="O798" s="9"/>
      <c r="P798" s="9"/>
      <c r="Q798" s="9"/>
      <c r="R798" s="9"/>
      <c r="S798" s="9"/>
      <c r="T798" s="9"/>
      <c r="U798" s="9"/>
      <c r="V798" s="9"/>
      <c r="W798" s="9"/>
      <c r="X798" s="9"/>
      <c r="Y798" s="9"/>
      <c r="Z798" s="9"/>
      <c r="AA798" s="9"/>
    </row>
    <row r="799" spans="1:27">
      <c r="A799" s="9"/>
      <c r="B799" s="9"/>
      <c r="C799" s="5"/>
      <c r="D799" s="5"/>
      <c r="E799" s="5"/>
      <c r="F799" s="9"/>
      <c r="G799" s="9"/>
      <c r="H799" s="9"/>
      <c r="I799" s="9"/>
      <c r="J799" s="9"/>
      <c r="K799" s="9"/>
      <c r="L799" s="9"/>
      <c r="M799" s="9"/>
      <c r="N799" s="9"/>
      <c r="O799" s="9"/>
      <c r="P799" s="9"/>
      <c r="Q799" s="9"/>
      <c r="R799" s="9"/>
      <c r="S799" s="9"/>
      <c r="T799" s="9"/>
      <c r="U799" s="9"/>
      <c r="V799" s="9"/>
      <c r="W799" s="9"/>
      <c r="X799" s="9"/>
      <c r="Y799" s="9"/>
      <c r="Z799" s="9"/>
      <c r="AA799" s="9"/>
    </row>
    <row r="800" spans="1:27">
      <c r="A800" s="9"/>
      <c r="B800" s="9"/>
      <c r="C800" s="5"/>
      <c r="D800" s="5"/>
      <c r="E800" s="5"/>
      <c r="F800" s="9"/>
      <c r="G800" s="9"/>
      <c r="H800" s="9"/>
      <c r="I800" s="9"/>
      <c r="J800" s="9"/>
      <c r="K800" s="9"/>
      <c r="L800" s="9"/>
      <c r="M800" s="9"/>
      <c r="N800" s="9"/>
      <c r="O800" s="9"/>
      <c r="P800" s="9"/>
      <c r="Q800" s="9"/>
      <c r="R800" s="9"/>
      <c r="S800" s="9"/>
      <c r="T800" s="9"/>
      <c r="U800" s="9"/>
      <c r="V800" s="9"/>
      <c r="W800" s="9"/>
      <c r="X800" s="9"/>
      <c r="Y800" s="9"/>
      <c r="Z800" s="9"/>
      <c r="AA800" s="9"/>
    </row>
    <row r="801" spans="1:27">
      <c r="A801" s="9"/>
      <c r="B801" s="9"/>
      <c r="C801" s="5"/>
      <c r="D801" s="5"/>
      <c r="E801" s="5"/>
      <c r="F801" s="9"/>
      <c r="G801" s="9"/>
      <c r="H801" s="9"/>
      <c r="I801" s="9"/>
      <c r="J801" s="9"/>
      <c r="K801" s="9"/>
      <c r="L801" s="9"/>
      <c r="M801" s="9"/>
      <c r="N801" s="9"/>
      <c r="O801" s="9"/>
      <c r="P801" s="9"/>
      <c r="Q801" s="9"/>
      <c r="R801" s="9"/>
      <c r="S801" s="9"/>
      <c r="T801" s="9"/>
      <c r="U801" s="9"/>
      <c r="V801" s="9"/>
      <c r="W801" s="9"/>
      <c r="X801" s="9"/>
      <c r="Y801" s="9"/>
      <c r="Z801" s="9"/>
      <c r="AA801" s="9"/>
    </row>
    <row r="802" spans="1:27">
      <c r="A802" s="9"/>
      <c r="B802" s="9"/>
      <c r="C802" s="5"/>
      <c r="D802" s="5"/>
      <c r="E802" s="5"/>
      <c r="F802" s="9"/>
      <c r="G802" s="9"/>
      <c r="H802" s="9"/>
      <c r="I802" s="9"/>
      <c r="J802" s="9"/>
      <c r="K802" s="9"/>
      <c r="L802" s="9"/>
      <c r="M802" s="9"/>
      <c r="N802" s="9"/>
      <c r="O802" s="9"/>
      <c r="P802" s="9"/>
      <c r="Q802" s="9"/>
      <c r="R802" s="9"/>
      <c r="S802" s="9"/>
      <c r="T802" s="9"/>
      <c r="U802" s="9"/>
      <c r="V802" s="9"/>
      <c r="W802" s="9"/>
      <c r="X802" s="9"/>
      <c r="Y802" s="9"/>
      <c r="Z802" s="9"/>
      <c r="AA802" s="9"/>
    </row>
    <row r="803" spans="1:27">
      <c r="A803" s="9"/>
      <c r="B803" s="9"/>
      <c r="C803" s="5"/>
      <c r="D803" s="5"/>
      <c r="E803" s="5"/>
      <c r="F803" s="9"/>
      <c r="G803" s="9"/>
      <c r="H803" s="9"/>
      <c r="I803" s="9"/>
      <c r="J803" s="9"/>
      <c r="K803" s="9"/>
      <c r="L803" s="9"/>
      <c r="M803" s="9"/>
      <c r="N803" s="9"/>
      <c r="O803" s="9"/>
      <c r="P803" s="9"/>
      <c r="Q803" s="9"/>
      <c r="R803" s="9"/>
      <c r="S803" s="9"/>
      <c r="T803" s="9"/>
      <c r="U803" s="9"/>
      <c r="V803" s="9"/>
      <c r="W803" s="9"/>
      <c r="X803" s="9"/>
      <c r="Y803" s="9"/>
      <c r="Z803" s="9"/>
      <c r="AA803" s="9"/>
    </row>
    <row r="804" spans="1:27">
      <c r="A804" s="9"/>
      <c r="B804" s="9"/>
      <c r="C804" s="5"/>
      <c r="D804" s="5"/>
      <c r="E804" s="5"/>
      <c r="F804" s="9"/>
      <c r="G804" s="9"/>
      <c r="H804" s="9"/>
      <c r="I804" s="9"/>
      <c r="J804" s="9"/>
      <c r="K804" s="9"/>
      <c r="L804" s="9"/>
      <c r="M804" s="9"/>
      <c r="N804" s="9"/>
      <c r="O804" s="9"/>
      <c r="P804" s="9"/>
      <c r="Q804" s="9"/>
      <c r="R804" s="9"/>
      <c r="S804" s="9"/>
      <c r="T804" s="9"/>
      <c r="U804" s="9"/>
      <c r="V804" s="9"/>
      <c r="W804" s="9"/>
      <c r="X804" s="9"/>
      <c r="Y804" s="9"/>
      <c r="Z804" s="9"/>
      <c r="AA804" s="9"/>
    </row>
    <row r="805" spans="1:27">
      <c r="A805" s="9"/>
      <c r="B805" s="9"/>
      <c r="C805" s="5"/>
      <c r="D805" s="5"/>
      <c r="E805" s="5"/>
      <c r="F805" s="9"/>
      <c r="G805" s="9"/>
      <c r="H805" s="9"/>
      <c r="I805" s="9"/>
      <c r="J805" s="9"/>
      <c r="K805" s="9"/>
      <c r="L805" s="9"/>
      <c r="M805" s="9"/>
      <c r="N805" s="9"/>
      <c r="O805" s="9"/>
      <c r="P805" s="9"/>
      <c r="Q805" s="9"/>
      <c r="R805" s="9"/>
      <c r="S805" s="9"/>
      <c r="T805" s="9"/>
      <c r="U805" s="9"/>
      <c r="V805" s="9"/>
      <c r="W805" s="9"/>
      <c r="X805" s="9"/>
      <c r="Y805" s="9"/>
      <c r="Z805" s="9"/>
      <c r="AA805" s="9"/>
    </row>
    <row r="806" spans="1:27">
      <c r="A806" s="9"/>
      <c r="B806" s="9"/>
      <c r="C806" s="5"/>
      <c r="D806" s="5"/>
      <c r="E806" s="5"/>
      <c r="F806" s="9"/>
      <c r="G806" s="9"/>
      <c r="H806" s="9"/>
      <c r="I806" s="9"/>
      <c r="J806" s="9"/>
      <c r="K806" s="9"/>
      <c r="L806" s="9"/>
      <c r="M806" s="9"/>
      <c r="N806" s="9"/>
      <c r="O806" s="9"/>
      <c r="P806" s="9"/>
      <c r="Q806" s="9"/>
      <c r="R806" s="9"/>
      <c r="S806" s="9"/>
      <c r="T806" s="9"/>
      <c r="U806" s="9"/>
      <c r="V806" s="9"/>
      <c r="W806" s="9"/>
      <c r="X806" s="9"/>
      <c r="Y806" s="9"/>
      <c r="Z806" s="9"/>
      <c r="AA806" s="9"/>
    </row>
    <row r="807" spans="1:27">
      <c r="A807" s="9"/>
      <c r="B807" s="9"/>
      <c r="C807" s="5"/>
      <c r="D807" s="5"/>
      <c r="E807" s="5"/>
      <c r="F807" s="9"/>
      <c r="G807" s="9"/>
      <c r="H807" s="9"/>
      <c r="I807" s="9"/>
      <c r="J807" s="9"/>
      <c r="K807" s="9"/>
      <c r="L807" s="9"/>
      <c r="M807" s="9"/>
      <c r="N807" s="9"/>
      <c r="O807" s="9"/>
      <c r="P807" s="9"/>
      <c r="Q807" s="9"/>
      <c r="R807" s="9"/>
      <c r="S807" s="9"/>
      <c r="T807" s="9"/>
      <c r="U807" s="9"/>
      <c r="V807" s="9"/>
      <c r="W807" s="9"/>
      <c r="X807" s="9"/>
      <c r="Y807" s="9"/>
      <c r="Z807" s="9"/>
      <c r="AA807" s="9"/>
    </row>
    <row r="808" spans="1:27">
      <c r="A808" s="9"/>
      <c r="B808" s="9"/>
      <c r="C808" s="5"/>
      <c r="D808" s="5"/>
      <c r="E808" s="5"/>
      <c r="F808" s="9"/>
      <c r="G808" s="9"/>
      <c r="H808" s="9"/>
      <c r="I808" s="9"/>
      <c r="J808" s="9"/>
      <c r="K808" s="9"/>
      <c r="L808" s="9"/>
      <c r="M808" s="9"/>
      <c r="N808" s="9"/>
      <c r="O808" s="9"/>
      <c r="P808" s="9"/>
      <c r="Q808" s="9"/>
      <c r="R808" s="9"/>
      <c r="S808" s="9"/>
      <c r="T808" s="9"/>
      <c r="U808" s="9"/>
      <c r="V808" s="9"/>
      <c r="W808" s="9"/>
      <c r="X808" s="9"/>
      <c r="Y808" s="9"/>
      <c r="Z808" s="9"/>
      <c r="AA808" s="9"/>
    </row>
    <row r="809" spans="1:27">
      <c r="A809" s="9"/>
      <c r="B809" s="9"/>
      <c r="C809" s="5"/>
      <c r="D809" s="5"/>
      <c r="E809" s="5"/>
      <c r="F809" s="9"/>
      <c r="G809" s="9"/>
      <c r="H809" s="9"/>
      <c r="I809" s="9"/>
      <c r="J809" s="9"/>
      <c r="K809" s="9"/>
      <c r="L809" s="9"/>
      <c r="M809" s="9"/>
      <c r="N809" s="9"/>
      <c r="O809" s="9"/>
      <c r="P809" s="9"/>
      <c r="Q809" s="9"/>
      <c r="R809" s="9"/>
      <c r="S809" s="9"/>
      <c r="T809" s="9"/>
      <c r="U809" s="9"/>
      <c r="V809" s="9"/>
      <c r="W809" s="9"/>
      <c r="X809" s="9"/>
      <c r="Y809" s="9"/>
      <c r="Z809" s="9"/>
      <c r="AA809" s="9"/>
    </row>
    <row r="810" spans="1:27">
      <c r="A810" s="9"/>
      <c r="B810" s="9"/>
      <c r="C810" s="5"/>
      <c r="D810" s="5"/>
      <c r="E810" s="5"/>
      <c r="F810" s="9"/>
      <c r="G810" s="9"/>
      <c r="H810" s="9"/>
      <c r="I810" s="9"/>
      <c r="J810" s="9"/>
      <c r="K810" s="9"/>
      <c r="L810" s="9"/>
      <c r="M810" s="9"/>
      <c r="N810" s="9"/>
      <c r="O810" s="9"/>
      <c r="P810" s="9"/>
      <c r="Q810" s="9"/>
      <c r="R810" s="9"/>
      <c r="S810" s="9"/>
      <c r="T810" s="9"/>
      <c r="U810" s="9"/>
      <c r="V810" s="9"/>
      <c r="W810" s="9"/>
      <c r="X810" s="9"/>
      <c r="Y810" s="9"/>
      <c r="Z810" s="9"/>
      <c r="AA810" s="9"/>
    </row>
    <row r="811" spans="1:27">
      <c r="A811" s="9"/>
      <c r="B811" s="9"/>
      <c r="C811" s="5"/>
      <c r="D811" s="5"/>
      <c r="E811" s="5"/>
      <c r="F811" s="9"/>
      <c r="G811" s="9"/>
      <c r="H811" s="9"/>
      <c r="I811" s="9"/>
      <c r="J811" s="9"/>
      <c r="K811" s="9"/>
      <c r="L811" s="9"/>
      <c r="M811" s="9"/>
      <c r="N811" s="9"/>
      <c r="O811" s="9"/>
      <c r="P811" s="9"/>
      <c r="Q811" s="9"/>
      <c r="R811" s="9"/>
      <c r="S811" s="9"/>
      <c r="T811" s="9"/>
      <c r="U811" s="9"/>
      <c r="V811" s="9"/>
      <c r="W811" s="9"/>
      <c r="X811" s="9"/>
      <c r="Y811" s="9"/>
      <c r="Z811" s="9"/>
      <c r="AA811" s="9"/>
    </row>
    <row r="812" spans="1:27">
      <c r="A812" s="9"/>
      <c r="B812" s="9"/>
      <c r="C812" s="5"/>
      <c r="D812" s="5"/>
      <c r="E812" s="5"/>
      <c r="F812" s="9"/>
      <c r="G812" s="9"/>
      <c r="H812" s="9"/>
      <c r="I812" s="9"/>
      <c r="J812" s="9"/>
      <c r="K812" s="9"/>
      <c r="L812" s="9"/>
      <c r="M812" s="9"/>
      <c r="N812" s="9"/>
      <c r="O812" s="9"/>
      <c r="P812" s="9"/>
      <c r="Q812" s="9"/>
      <c r="R812" s="9"/>
      <c r="S812" s="9"/>
      <c r="T812" s="9"/>
      <c r="U812" s="9"/>
      <c r="V812" s="9"/>
      <c r="W812" s="9"/>
      <c r="X812" s="9"/>
      <c r="Y812" s="9"/>
      <c r="Z812" s="9"/>
      <c r="AA812" s="9"/>
    </row>
    <row r="813" spans="1:27">
      <c r="A813" s="9"/>
      <c r="B813" s="9"/>
      <c r="C813" s="5"/>
      <c r="D813" s="5"/>
      <c r="E813" s="5"/>
      <c r="F813" s="9"/>
      <c r="G813" s="9"/>
      <c r="H813" s="9"/>
      <c r="I813" s="9"/>
      <c r="J813" s="9"/>
      <c r="K813" s="9"/>
      <c r="L813" s="9"/>
      <c r="M813" s="9"/>
      <c r="N813" s="9"/>
      <c r="O813" s="9"/>
      <c r="P813" s="9"/>
      <c r="Q813" s="9"/>
      <c r="R813" s="9"/>
      <c r="S813" s="9"/>
      <c r="T813" s="9"/>
      <c r="U813" s="9"/>
      <c r="V813" s="9"/>
      <c r="W813" s="9"/>
      <c r="X813" s="9"/>
      <c r="Y813" s="9"/>
      <c r="Z813" s="9"/>
      <c r="AA813" s="9"/>
    </row>
    <row r="814" spans="1:27">
      <c r="A814" s="9"/>
      <c r="B814" s="9"/>
      <c r="C814" s="5"/>
      <c r="D814" s="5"/>
      <c r="E814" s="5"/>
      <c r="F814" s="9"/>
      <c r="G814" s="9"/>
      <c r="H814" s="9"/>
      <c r="I814" s="9"/>
      <c r="J814" s="9"/>
      <c r="K814" s="9"/>
      <c r="L814" s="9"/>
      <c r="M814" s="9"/>
      <c r="N814" s="9"/>
      <c r="O814" s="9"/>
      <c r="P814" s="9"/>
      <c r="Q814" s="9"/>
      <c r="R814" s="9"/>
      <c r="S814" s="9"/>
      <c r="T814" s="9"/>
      <c r="U814" s="9"/>
      <c r="V814" s="9"/>
      <c r="W814" s="9"/>
      <c r="X814" s="9"/>
      <c r="Y814" s="9"/>
      <c r="Z814" s="9"/>
      <c r="AA814" s="9"/>
    </row>
    <row r="815" spans="1:27">
      <c r="A815" s="9"/>
      <c r="B815" s="9"/>
      <c r="C815" s="5"/>
      <c r="D815" s="5"/>
      <c r="E815" s="5"/>
      <c r="F815" s="9"/>
      <c r="G815" s="9"/>
      <c r="H815" s="9"/>
      <c r="I815" s="9"/>
      <c r="J815" s="9"/>
      <c r="K815" s="9"/>
      <c r="L815" s="9"/>
      <c r="M815" s="9"/>
      <c r="N815" s="9"/>
      <c r="O815" s="9"/>
      <c r="P815" s="9"/>
      <c r="Q815" s="9"/>
      <c r="R815" s="9"/>
      <c r="S815" s="9"/>
      <c r="T815" s="9"/>
      <c r="U815" s="9"/>
      <c r="V815" s="9"/>
      <c r="W815" s="9"/>
      <c r="X815" s="9"/>
      <c r="Y815" s="9"/>
      <c r="Z815" s="9"/>
      <c r="AA815" s="9"/>
    </row>
    <row r="816" spans="1:27">
      <c r="A816" s="9"/>
      <c r="B816" s="9"/>
      <c r="C816" s="5"/>
      <c r="D816" s="5"/>
      <c r="E816" s="5"/>
      <c r="F816" s="9"/>
      <c r="G816" s="9"/>
      <c r="H816" s="9"/>
      <c r="I816" s="9"/>
      <c r="J816" s="9"/>
      <c r="K816" s="9"/>
      <c r="L816" s="9"/>
      <c r="M816" s="9"/>
      <c r="N816" s="9"/>
      <c r="O816" s="9"/>
      <c r="P816" s="9"/>
      <c r="Q816" s="9"/>
      <c r="R816" s="9"/>
      <c r="S816" s="9"/>
      <c r="T816" s="9"/>
      <c r="U816" s="9"/>
      <c r="V816" s="9"/>
      <c r="W816" s="9"/>
      <c r="X816" s="9"/>
      <c r="Y816" s="9"/>
      <c r="Z816" s="9"/>
      <c r="AA816" s="9"/>
    </row>
    <row r="817" spans="1:27">
      <c r="A817" s="9"/>
      <c r="B817" s="9"/>
      <c r="C817" s="5"/>
      <c r="D817" s="5"/>
      <c r="E817" s="5"/>
      <c r="F817" s="9"/>
      <c r="G817" s="9"/>
      <c r="H817" s="9"/>
      <c r="I817" s="9"/>
      <c r="J817" s="9"/>
      <c r="K817" s="9"/>
      <c r="L817" s="9"/>
      <c r="M817" s="9"/>
      <c r="N817" s="9"/>
      <c r="O817" s="9"/>
      <c r="P817" s="9"/>
      <c r="Q817" s="9"/>
      <c r="R817" s="9"/>
      <c r="S817" s="9"/>
      <c r="T817" s="9"/>
      <c r="U817" s="9"/>
      <c r="V817" s="9"/>
      <c r="W817" s="9"/>
      <c r="X817" s="9"/>
      <c r="Y817" s="9"/>
      <c r="Z817" s="9"/>
      <c r="AA817" s="9"/>
    </row>
    <row r="818" spans="1:27">
      <c r="A818" s="9"/>
      <c r="B818" s="9"/>
      <c r="C818" s="5"/>
      <c r="D818" s="5"/>
      <c r="E818" s="5"/>
      <c r="F818" s="9"/>
      <c r="G818" s="9"/>
      <c r="H818" s="9"/>
      <c r="I818" s="9"/>
      <c r="J818" s="9"/>
      <c r="K818" s="9"/>
      <c r="L818" s="9"/>
      <c r="M818" s="9"/>
      <c r="N818" s="9"/>
      <c r="O818" s="9"/>
      <c r="P818" s="9"/>
      <c r="Q818" s="9"/>
      <c r="R818" s="9"/>
      <c r="S818" s="9"/>
      <c r="T818" s="9"/>
      <c r="U818" s="9"/>
      <c r="V818" s="9"/>
      <c r="W818" s="9"/>
      <c r="X818" s="9"/>
      <c r="Y818" s="9"/>
      <c r="Z818" s="9"/>
      <c r="AA818" s="9"/>
    </row>
    <row r="819" spans="1:27">
      <c r="A819" s="9"/>
      <c r="B819" s="9"/>
      <c r="C819" s="5"/>
      <c r="D819" s="5"/>
      <c r="E819" s="5"/>
      <c r="F819" s="9"/>
      <c r="G819" s="9"/>
      <c r="H819" s="9"/>
      <c r="I819" s="9"/>
      <c r="J819" s="9"/>
      <c r="K819" s="9"/>
      <c r="L819" s="9"/>
      <c r="M819" s="9"/>
      <c r="N819" s="9"/>
      <c r="O819" s="9"/>
      <c r="P819" s="9"/>
      <c r="Q819" s="9"/>
      <c r="R819" s="9"/>
      <c r="S819" s="9"/>
      <c r="T819" s="9"/>
      <c r="U819" s="9"/>
      <c r="V819" s="9"/>
      <c r="W819" s="9"/>
      <c r="X819" s="9"/>
      <c r="Y819" s="9"/>
      <c r="Z819" s="9"/>
      <c r="AA819" s="9"/>
    </row>
    <row r="820" spans="1:27">
      <c r="A820" s="9"/>
      <c r="B820" s="9"/>
      <c r="C820" s="5"/>
      <c r="D820" s="5"/>
      <c r="E820" s="5"/>
      <c r="F820" s="9"/>
      <c r="G820" s="9"/>
      <c r="H820" s="9"/>
      <c r="I820" s="9"/>
      <c r="J820" s="9"/>
      <c r="K820" s="9"/>
      <c r="L820" s="9"/>
      <c r="M820" s="9"/>
      <c r="N820" s="9"/>
      <c r="O820" s="9"/>
      <c r="P820" s="9"/>
      <c r="Q820" s="9"/>
      <c r="R820" s="9"/>
      <c r="S820" s="9"/>
      <c r="T820" s="9"/>
      <c r="U820" s="9"/>
      <c r="V820" s="9"/>
      <c r="W820" s="9"/>
      <c r="X820" s="9"/>
      <c r="Y820" s="9"/>
      <c r="Z820" s="9"/>
      <c r="AA820" s="9"/>
    </row>
    <row r="821" spans="1:27">
      <c r="A821" s="9"/>
      <c r="B821" s="9"/>
      <c r="C821" s="5"/>
      <c r="D821" s="5"/>
      <c r="E821" s="5"/>
      <c r="F821" s="9"/>
      <c r="G821" s="9"/>
      <c r="H821" s="9"/>
      <c r="I821" s="9"/>
      <c r="J821" s="9"/>
      <c r="K821" s="9"/>
      <c r="L821" s="9"/>
      <c r="M821" s="9"/>
      <c r="N821" s="9"/>
      <c r="O821" s="9"/>
      <c r="P821" s="9"/>
      <c r="Q821" s="9"/>
      <c r="R821" s="9"/>
      <c r="S821" s="9"/>
      <c r="T821" s="9"/>
      <c r="U821" s="9"/>
      <c r="V821" s="9"/>
      <c r="W821" s="9"/>
      <c r="X821" s="9"/>
      <c r="Y821" s="9"/>
      <c r="Z821" s="9"/>
      <c r="AA821" s="9"/>
    </row>
    <row r="822" spans="1:27">
      <c r="A822" s="9"/>
      <c r="B822" s="9"/>
      <c r="C822" s="5"/>
      <c r="D822" s="5"/>
      <c r="E822" s="5"/>
      <c r="F822" s="9"/>
      <c r="G822" s="9"/>
      <c r="H822" s="9"/>
      <c r="I822" s="9"/>
      <c r="J822" s="9"/>
      <c r="K822" s="9"/>
      <c r="L822" s="9"/>
      <c r="M822" s="9"/>
      <c r="N822" s="9"/>
      <c r="O822" s="9"/>
      <c r="P822" s="9"/>
      <c r="Q822" s="9"/>
      <c r="R822" s="9"/>
      <c r="S822" s="9"/>
      <c r="T822" s="9"/>
      <c r="U822" s="9"/>
      <c r="V822" s="9"/>
      <c r="W822" s="9"/>
      <c r="X822" s="9"/>
      <c r="Y822" s="9"/>
      <c r="Z822" s="9"/>
      <c r="AA822" s="9"/>
    </row>
    <row r="823" spans="1:27">
      <c r="A823" s="9"/>
      <c r="B823" s="9"/>
      <c r="C823" s="5"/>
      <c r="D823" s="5"/>
      <c r="E823" s="5"/>
      <c r="F823" s="9"/>
      <c r="G823" s="9"/>
      <c r="H823" s="9"/>
      <c r="I823" s="9"/>
      <c r="J823" s="9"/>
      <c r="K823" s="9"/>
      <c r="L823" s="9"/>
      <c r="M823" s="9"/>
      <c r="N823" s="9"/>
      <c r="O823" s="9"/>
      <c r="P823" s="9"/>
      <c r="Q823" s="9"/>
      <c r="R823" s="9"/>
      <c r="S823" s="9"/>
      <c r="T823" s="9"/>
      <c r="U823" s="9"/>
      <c r="V823" s="9"/>
      <c r="W823" s="9"/>
      <c r="X823" s="9"/>
      <c r="Y823" s="9"/>
      <c r="Z823" s="9"/>
      <c r="AA823" s="9"/>
    </row>
    <row r="824" spans="1:27">
      <c r="A824" s="9"/>
      <c r="B824" s="9"/>
      <c r="C824" s="5"/>
      <c r="D824" s="5"/>
      <c r="E824" s="5"/>
      <c r="F824" s="9"/>
      <c r="G824" s="9"/>
      <c r="H824" s="9"/>
      <c r="I824" s="9"/>
      <c r="J824" s="9"/>
      <c r="K824" s="9"/>
      <c r="L824" s="9"/>
      <c r="M824" s="9"/>
      <c r="N824" s="9"/>
      <c r="O824" s="9"/>
      <c r="P824" s="9"/>
      <c r="Q824" s="9"/>
      <c r="R824" s="9"/>
      <c r="S824" s="9"/>
      <c r="T824" s="9"/>
      <c r="U824" s="9"/>
      <c r="V824" s="9"/>
      <c r="W824" s="9"/>
      <c r="X824" s="9"/>
      <c r="Y824" s="9"/>
      <c r="Z824" s="9"/>
      <c r="AA824" s="9"/>
    </row>
    <row r="825" spans="1:27">
      <c r="A825" s="9"/>
      <c r="B825" s="9"/>
      <c r="C825" s="5"/>
      <c r="D825" s="5"/>
      <c r="E825" s="5"/>
      <c r="F825" s="9"/>
      <c r="G825" s="9"/>
      <c r="H825" s="9"/>
      <c r="I825" s="9"/>
      <c r="J825" s="9"/>
      <c r="K825" s="9"/>
      <c r="L825" s="9"/>
      <c r="M825" s="9"/>
      <c r="N825" s="9"/>
      <c r="O825" s="9"/>
      <c r="P825" s="9"/>
      <c r="Q825" s="9"/>
      <c r="R825" s="9"/>
      <c r="S825" s="9"/>
      <c r="T825" s="9"/>
      <c r="U825" s="9"/>
      <c r="V825" s="9"/>
      <c r="W825" s="9"/>
      <c r="X825" s="9"/>
      <c r="Y825" s="9"/>
      <c r="Z825" s="9"/>
      <c r="AA825" s="9"/>
    </row>
    <row r="826" spans="1:27">
      <c r="A826" s="9"/>
      <c r="B826" s="9"/>
      <c r="C826" s="5"/>
      <c r="D826" s="5"/>
      <c r="E826" s="5"/>
      <c r="F826" s="9"/>
      <c r="G826" s="9"/>
      <c r="H826" s="9"/>
      <c r="I826" s="9"/>
      <c r="J826" s="9"/>
      <c r="K826" s="9"/>
      <c r="L826" s="9"/>
      <c r="M826" s="9"/>
      <c r="N826" s="9"/>
      <c r="O826" s="9"/>
      <c r="P826" s="9"/>
      <c r="Q826" s="9"/>
      <c r="R826" s="9"/>
      <c r="S826" s="9"/>
      <c r="T826" s="9"/>
      <c r="U826" s="9"/>
      <c r="V826" s="9"/>
      <c r="W826" s="9"/>
      <c r="X826" s="9"/>
      <c r="Y826" s="9"/>
      <c r="Z826" s="9"/>
      <c r="AA826" s="9"/>
    </row>
    <row r="827" spans="1:27">
      <c r="A827" s="9"/>
      <c r="B827" s="9"/>
      <c r="C827" s="5"/>
      <c r="D827" s="5"/>
      <c r="E827" s="5"/>
      <c r="F827" s="9"/>
      <c r="G827" s="9"/>
      <c r="H827" s="9"/>
      <c r="I827" s="9"/>
      <c r="J827" s="9"/>
      <c r="K827" s="9"/>
      <c r="L827" s="9"/>
      <c r="M827" s="9"/>
      <c r="N827" s="9"/>
      <c r="O827" s="9"/>
      <c r="P827" s="9"/>
      <c r="Q827" s="9"/>
      <c r="R827" s="9"/>
      <c r="S827" s="9"/>
      <c r="T827" s="9"/>
      <c r="U827" s="9"/>
      <c r="V827" s="9"/>
      <c r="W827" s="9"/>
      <c r="X827" s="9"/>
      <c r="Y827" s="9"/>
      <c r="Z827" s="9"/>
      <c r="AA827" s="9"/>
    </row>
    <row r="828" spans="1:27">
      <c r="A828" s="9"/>
      <c r="B828" s="9"/>
      <c r="C828" s="5"/>
      <c r="D828" s="5"/>
      <c r="E828" s="5"/>
      <c r="F828" s="9"/>
      <c r="G828" s="9"/>
      <c r="H828" s="9"/>
      <c r="I828" s="9"/>
      <c r="J828" s="9"/>
      <c r="K828" s="9"/>
      <c r="L828" s="9"/>
      <c r="M828" s="9"/>
      <c r="N828" s="9"/>
      <c r="O828" s="9"/>
      <c r="P828" s="9"/>
      <c r="Q828" s="9"/>
      <c r="R828" s="9"/>
      <c r="S828" s="9"/>
      <c r="T828" s="9"/>
      <c r="U828" s="9"/>
      <c r="V828" s="9"/>
      <c r="W828" s="9"/>
      <c r="X828" s="9"/>
      <c r="Y828" s="9"/>
      <c r="Z828" s="9"/>
      <c r="AA828" s="9"/>
    </row>
    <row r="829" spans="1:27">
      <c r="A829" s="9"/>
      <c r="B829" s="9"/>
      <c r="C829" s="5"/>
      <c r="D829" s="5"/>
      <c r="E829" s="5"/>
      <c r="F829" s="9"/>
      <c r="G829" s="9"/>
      <c r="H829" s="9"/>
      <c r="I829" s="9"/>
      <c r="J829" s="9"/>
      <c r="K829" s="9"/>
      <c r="L829" s="9"/>
      <c r="M829" s="9"/>
      <c r="N829" s="9"/>
      <c r="O829" s="9"/>
      <c r="P829" s="9"/>
      <c r="Q829" s="9"/>
      <c r="R829" s="9"/>
      <c r="S829" s="9"/>
      <c r="T829" s="9"/>
      <c r="U829" s="9"/>
      <c r="V829" s="9"/>
      <c r="W829" s="9"/>
      <c r="X829" s="9"/>
      <c r="Y829" s="9"/>
      <c r="Z829" s="9"/>
      <c r="AA829" s="9"/>
    </row>
    <row r="830" spans="1:27">
      <c r="A830" s="9"/>
      <c r="B830" s="9"/>
      <c r="C830" s="5"/>
      <c r="D830" s="5"/>
      <c r="E830" s="5"/>
      <c r="F830" s="9"/>
      <c r="G830" s="9"/>
      <c r="H830" s="9"/>
      <c r="I830" s="9"/>
      <c r="J830" s="9"/>
      <c r="K830" s="9"/>
      <c r="L830" s="9"/>
      <c r="M830" s="9"/>
      <c r="N830" s="9"/>
      <c r="O830" s="9"/>
      <c r="P830" s="9"/>
      <c r="Q830" s="9"/>
      <c r="R830" s="9"/>
      <c r="S830" s="9"/>
      <c r="T830" s="9"/>
      <c r="U830" s="9"/>
      <c r="V830" s="9"/>
      <c r="W830" s="9"/>
      <c r="X830" s="9"/>
      <c r="Y830" s="9"/>
      <c r="Z830" s="9"/>
      <c r="AA830" s="9"/>
    </row>
    <row r="831" spans="1:27">
      <c r="A831" s="9"/>
      <c r="B831" s="9"/>
      <c r="C831" s="5"/>
      <c r="D831" s="5"/>
      <c r="E831" s="5"/>
      <c r="F831" s="9"/>
      <c r="G831" s="9"/>
      <c r="H831" s="9"/>
      <c r="I831" s="9"/>
      <c r="J831" s="9"/>
      <c r="K831" s="9"/>
      <c r="L831" s="9"/>
      <c r="M831" s="9"/>
      <c r="N831" s="9"/>
      <c r="O831" s="9"/>
      <c r="P831" s="9"/>
      <c r="Q831" s="9"/>
      <c r="R831" s="9"/>
      <c r="S831" s="9"/>
      <c r="T831" s="9"/>
      <c r="U831" s="9"/>
      <c r="V831" s="9"/>
      <c r="W831" s="9"/>
      <c r="X831" s="9"/>
      <c r="Y831" s="9"/>
      <c r="Z831" s="9"/>
      <c r="AA831" s="9"/>
    </row>
    <row r="832" spans="1:27">
      <c r="A832" s="9"/>
      <c r="B832" s="9"/>
      <c r="C832" s="5"/>
      <c r="D832" s="5"/>
      <c r="E832" s="5"/>
      <c r="F832" s="9"/>
      <c r="G832" s="9"/>
      <c r="H832" s="9"/>
      <c r="I832" s="9"/>
      <c r="J832" s="9"/>
      <c r="K832" s="9"/>
      <c r="L832" s="9"/>
      <c r="M832" s="9"/>
      <c r="N832" s="9"/>
      <c r="O832" s="9"/>
      <c r="P832" s="9"/>
      <c r="Q832" s="9"/>
      <c r="R832" s="9"/>
      <c r="S832" s="9"/>
      <c r="T832" s="9"/>
      <c r="U832" s="9"/>
      <c r="V832" s="9"/>
      <c r="W832" s="9"/>
      <c r="X832" s="9"/>
      <c r="Y832" s="9"/>
      <c r="Z832" s="9"/>
      <c r="AA832" s="9"/>
    </row>
    <row r="833" spans="1:27">
      <c r="A833" s="9"/>
      <c r="B833" s="9"/>
      <c r="C833" s="5"/>
      <c r="D833" s="5"/>
      <c r="E833" s="5"/>
      <c r="F833" s="9"/>
      <c r="G833" s="9"/>
      <c r="H833" s="9"/>
      <c r="I833" s="9"/>
      <c r="J833" s="9"/>
      <c r="K833" s="9"/>
      <c r="L833" s="9"/>
      <c r="M833" s="9"/>
      <c r="N833" s="9"/>
      <c r="O833" s="9"/>
      <c r="P833" s="9"/>
      <c r="Q833" s="9"/>
      <c r="R833" s="9"/>
      <c r="S833" s="9"/>
      <c r="T833" s="9"/>
      <c r="U833" s="9"/>
      <c r="V833" s="9"/>
      <c r="W833" s="9"/>
      <c r="X833" s="9"/>
      <c r="Y833" s="9"/>
      <c r="Z833" s="9"/>
      <c r="AA833" s="9"/>
    </row>
    <row r="834" spans="1:27">
      <c r="A834" s="9"/>
      <c r="B834" s="9"/>
      <c r="C834" s="5"/>
      <c r="D834" s="5"/>
      <c r="E834" s="5"/>
      <c r="F834" s="9"/>
      <c r="G834" s="9"/>
      <c r="H834" s="9"/>
      <c r="I834" s="9"/>
      <c r="J834" s="9"/>
      <c r="K834" s="9"/>
      <c r="L834" s="9"/>
      <c r="M834" s="9"/>
      <c r="N834" s="9"/>
      <c r="O834" s="9"/>
      <c r="P834" s="9"/>
      <c r="Q834" s="9"/>
      <c r="R834" s="9"/>
      <c r="S834" s="9"/>
      <c r="T834" s="9"/>
      <c r="U834" s="9"/>
      <c r="V834" s="9"/>
      <c r="W834" s="9"/>
      <c r="X834" s="9"/>
      <c r="Y834" s="9"/>
      <c r="Z834" s="9"/>
      <c r="AA834" s="9"/>
    </row>
    <row r="835" spans="1:27">
      <c r="A835" s="9"/>
      <c r="B835" s="9"/>
      <c r="C835" s="5"/>
      <c r="D835" s="5"/>
      <c r="E835" s="5"/>
      <c r="F835" s="9"/>
      <c r="G835" s="9"/>
      <c r="H835" s="9"/>
      <c r="I835" s="9"/>
      <c r="J835" s="9"/>
      <c r="K835" s="9"/>
      <c r="L835" s="9"/>
      <c r="M835" s="9"/>
      <c r="N835" s="9"/>
      <c r="O835" s="9"/>
      <c r="P835" s="9"/>
      <c r="Q835" s="9"/>
      <c r="R835" s="9"/>
      <c r="S835" s="9"/>
      <c r="T835" s="9"/>
      <c r="U835" s="9"/>
      <c r="V835" s="9"/>
      <c r="W835" s="9"/>
      <c r="X835" s="9"/>
      <c r="Y835" s="9"/>
      <c r="Z835" s="9"/>
      <c r="AA835" s="9"/>
    </row>
    <row r="836" spans="1:27">
      <c r="A836" s="9"/>
      <c r="B836" s="9"/>
      <c r="C836" s="5"/>
      <c r="D836" s="5"/>
      <c r="E836" s="5"/>
      <c r="F836" s="9"/>
      <c r="G836" s="9"/>
      <c r="H836" s="9"/>
      <c r="I836" s="9"/>
      <c r="J836" s="9"/>
      <c r="K836" s="9"/>
      <c r="L836" s="9"/>
      <c r="M836" s="9"/>
      <c r="N836" s="9"/>
      <c r="O836" s="9"/>
      <c r="P836" s="9"/>
      <c r="Q836" s="9"/>
      <c r="R836" s="9"/>
      <c r="S836" s="9"/>
      <c r="T836" s="9"/>
      <c r="U836" s="9"/>
      <c r="V836" s="9"/>
      <c r="W836" s="9"/>
      <c r="X836" s="9"/>
      <c r="Y836" s="9"/>
      <c r="Z836" s="9"/>
      <c r="AA836" s="9"/>
    </row>
    <row r="837" spans="1:27">
      <c r="A837" s="9"/>
      <c r="B837" s="9"/>
      <c r="C837" s="5"/>
      <c r="D837" s="5"/>
      <c r="E837" s="5"/>
      <c r="F837" s="9"/>
      <c r="G837" s="9"/>
      <c r="H837" s="9"/>
      <c r="I837" s="9"/>
      <c r="J837" s="9"/>
      <c r="K837" s="9"/>
      <c r="L837" s="9"/>
      <c r="M837" s="9"/>
      <c r="N837" s="9"/>
      <c r="O837" s="9"/>
      <c r="P837" s="9"/>
      <c r="Q837" s="9"/>
      <c r="R837" s="9"/>
      <c r="S837" s="9"/>
      <c r="T837" s="9"/>
      <c r="U837" s="9"/>
      <c r="V837" s="9"/>
      <c r="W837" s="9"/>
      <c r="X837" s="9"/>
      <c r="Y837" s="9"/>
      <c r="Z837" s="9"/>
      <c r="AA837" s="9"/>
    </row>
    <row r="838" spans="1:27">
      <c r="A838" s="9"/>
      <c r="B838" s="9"/>
      <c r="C838" s="5"/>
      <c r="D838" s="5"/>
      <c r="E838" s="5"/>
      <c r="F838" s="9"/>
      <c r="G838" s="9"/>
      <c r="H838" s="9"/>
      <c r="I838" s="9"/>
      <c r="J838" s="9"/>
      <c r="K838" s="9"/>
      <c r="L838" s="9"/>
      <c r="M838" s="9"/>
      <c r="N838" s="9"/>
      <c r="O838" s="9"/>
      <c r="P838" s="9"/>
      <c r="Q838" s="9"/>
      <c r="R838" s="9"/>
      <c r="S838" s="9"/>
      <c r="T838" s="9"/>
      <c r="U838" s="9"/>
      <c r="V838" s="9"/>
      <c r="W838" s="9"/>
      <c r="X838" s="9"/>
      <c r="Y838" s="9"/>
      <c r="Z838" s="9"/>
      <c r="AA838" s="9"/>
    </row>
    <row r="839" spans="1:27">
      <c r="A839" s="9"/>
      <c r="B839" s="9"/>
      <c r="C839" s="5"/>
      <c r="D839" s="5"/>
      <c r="E839" s="5"/>
      <c r="F839" s="9"/>
      <c r="G839" s="9"/>
      <c r="H839" s="9"/>
      <c r="I839" s="9"/>
      <c r="J839" s="9"/>
      <c r="K839" s="9"/>
      <c r="L839" s="9"/>
      <c r="M839" s="9"/>
      <c r="N839" s="9"/>
      <c r="O839" s="9"/>
      <c r="P839" s="9"/>
      <c r="Q839" s="9"/>
      <c r="R839" s="9"/>
      <c r="S839" s="9"/>
      <c r="T839" s="9"/>
      <c r="U839" s="9"/>
      <c r="V839" s="9"/>
      <c r="W839" s="9"/>
      <c r="X839" s="9"/>
      <c r="Y839" s="9"/>
      <c r="Z839" s="9"/>
      <c r="AA839" s="9"/>
    </row>
    <row r="840" spans="1:27">
      <c r="A840" s="9"/>
      <c r="B840" s="9"/>
      <c r="C840" s="5"/>
      <c r="D840" s="5"/>
      <c r="E840" s="5"/>
      <c r="F840" s="9"/>
      <c r="G840" s="9"/>
      <c r="H840" s="9"/>
      <c r="I840" s="9"/>
      <c r="J840" s="9"/>
      <c r="K840" s="9"/>
      <c r="L840" s="9"/>
      <c r="M840" s="9"/>
      <c r="N840" s="9"/>
      <c r="O840" s="9"/>
      <c r="P840" s="9"/>
      <c r="Q840" s="9"/>
      <c r="R840" s="9"/>
      <c r="S840" s="9"/>
      <c r="T840" s="9"/>
      <c r="U840" s="9"/>
      <c r="V840" s="9"/>
      <c r="W840" s="9"/>
      <c r="X840" s="9"/>
      <c r="Y840" s="9"/>
      <c r="Z840" s="9"/>
      <c r="AA840" s="9"/>
    </row>
    <row r="841" spans="1:27">
      <c r="A841" s="9"/>
      <c r="B841" s="9"/>
      <c r="C841" s="5"/>
      <c r="D841" s="5"/>
      <c r="E841" s="5"/>
      <c r="F841" s="9"/>
      <c r="G841" s="9"/>
      <c r="H841" s="9"/>
      <c r="I841" s="9"/>
      <c r="J841" s="9"/>
      <c r="K841" s="9"/>
      <c r="L841" s="9"/>
      <c r="M841" s="9"/>
      <c r="N841" s="9"/>
      <c r="O841" s="9"/>
      <c r="P841" s="9"/>
      <c r="Q841" s="9"/>
      <c r="R841" s="9"/>
      <c r="S841" s="9"/>
      <c r="T841" s="9"/>
      <c r="U841" s="9"/>
      <c r="V841" s="9"/>
      <c r="W841" s="9"/>
      <c r="X841" s="9"/>
      <c r="Y841" s="9"/>
      <c r="Z841" s="9"/>
      <c r="AA841" s="9"/>
    </row>
    <row r="842" spans="1:27">
      <c r="A842" s="9"/>
      <c r="B842" s="9"/>
      <c r="C842" s="5"/>
      <c r="D842" s="5"/>
      <c r="E842" s="5"/>
      <c r="F842" s="9"/>
      <c r="G842" s="9"/>
      <c r="H842" s="9"/>
      <c r="I842" s="9"/>
      <c r="J842" s="9"/>
      <c r="K842" s="9"/>
      <c r="L842" s="9"/>
      <c r="M842" s="9"/>
      <c r="N842" s="9"/>
      <c r="O842" s="9"/>
      <c r="P842" s="9"/>
      <c r="Q842" s="9"/>
      <c r="R842" s="9"/>
      <c r="S842" s="9"/>
      <c r="T842" s="9"/>
      <c r="U842" s="9"/>
      <c r="V842" s="9"/>
      <c r="W842" s="9"/>
      <c r="X842" s="9"/>
      <c r="Y842" s="9"/>
      <c r="Z842" s="9"/>
      <c r="AA842" s="9"/>
    </row>
    <row r="843" spans="1:27">
      <c r="A843" s="9"/>
      <c r="B843" s="9"/>
      <c r="C843" s="5"/>
      <c r="D843" s="5"/>
      <c r="E843" s="5"/>
      <c r="F843" s="9"/>
      <c r="G843" s="9"/>
      <c r="H843" s="9"/>
      <c r="I843" s="9"/>
      <c r="J843" s="9"/>
      <c r="K843" s="9"/>
      <c r="L843" s="9"/>
      <c r="M843" s="9"/>
      <c r="N843" s="9"/>
      <c r="O843" s="9"/>
      <c r="P843" s="9"/>
      <c r="Q843" s="9"/>
      <c r="R843" s="9"/>
      <c r="S843" s="9"/>
      <c r="T843" s="9"/>
      <c r="U843" s="9"/>
      <c r="V843" s="9"/>
      <c r="W843" s="9"/>
      <c r="X843" s="9"/>
      <c r="Y843" s="9"/>
      <c r="Z843" s="9"/>
      <c r="AA843" s="9"/>
    </row>
    <row r="844" spans="1:27">
      <c r="A844" s="9"/>
      <c r="B844" s="9"/>
      <c r="C844" s="5"/>
      <c r="D844" s="5"/>
      <c r="E844" s="5"/>
      <c r="F844" s="9"/>
      <c r="G844" s="9"/>
      <c r="H844" s="9"/>
      <c r="I844" s="9"/>
      <c r="J844" s="9"/>
      <c r="K844" s="9"/>
      <c r="L844" s="9"/>
      <c r="M844" s="9"/>
      <c r="N844" s="9"/>
      <c r="O844" s="9"/>
      <c r="P844" s="9"/>
      <c r="Q844" s="9"/>
      <c r="R844" s="9"/>
      <c r="S844" s="9"/>
      <c r="T844" s="9"/>
      <c r="U844" s="9"/>
      <c r="V844" s="9"/>
      <c r="W844" s="9"/>
      <c r="X844" s="9"/>
      <c r="Y844" s="9"/>
      <c r="Z844" s="9"/>
      <c r="AA844" s="9"/>
    </row>
    <row r="845" spans="1:27">
      <c r="A845" s="9"/>
      <c r="B845" s="9"/>
      <c r="C845" s="5"/>
      <c r="D845" s="5"/>
      <c r="E845" s="5"/>
      <c r="F845" s="9"/>
      <c r="G845" s="9"/>
      <c r="H845" s="9"/>
      <c r="I845" s="9"/>
      <c r="J845" s="9"/>
      <c r="K845" s="9"/>
      <c r="L845" s="9"/>
      <c r="M845" s="9"/>
      <c r="N845" s="9"/>
      <c r="O845" s="9"/>
      <c r="P845" s="9"/>
      <c r="Q845" s="9"/>
      <c r="R845" s="9"/>
      <c r="S845" s="9"/>
      <c r="T845" s="9"/>
      <c r="U845" s="9"/>
      <c r="V845" s="9"/>
      <c r="W845" s="9"/>
      <c r="X845" s="9"/>
      <c r="Y845" s="9"/>
      <c r="Z845" s="9"/>
      <c r="AA845" s="9"/>
    </row>
    <row r="846" spans="1:27">
      <c r="A846" s="9"/>
      <c r="B846" s="9"/>
      <c r="C846" s="5"/>
      <c r="D846" s="5"/>
      <c r="E846" s="5"/>
      <c r="F846" s="9"/>
      <c r="G846" s="9"/>
      <c r="H846" s="9"/>
      <c r="I846" s="9"/>
      <c r="J846" s="9"/>
      <c r="K846" s="9"/>
      <c r="L846" s="9"/>
      <c r="M846" s="9"/>
      <c r="N846" s="9"/>
      <c r="O846" s="9"/>
      <c r="P846" s="9"/>
      <c r="Q846" s="9"/>
      <c r="R846" s="9"/>
      <c r="S846" s="9"/>
      <c r="T846" s="9"/>
      <c r="U846" s="9"/>
      <c r="V846" s="9"/>
      <c r="W846" s="9"/>
      <c r="X846" s="9"/>
      <c r="Y846" s="9"/>
      <c r="Z846" s="9"/>
      <c r="AA846" s="9"/>
    </row>
    <row r="847" spans="1:27">
      <c r="A847" s="9"/>
      <c r="B847" s="9"/>
      <c r="C847" s="5"/>
      <c r="D847" s="5"/>
      <c r="E847" s="5"/>
      <c r="F847" s="9"/>
      <c r="G847" s="9"/>
      <c r="H847" s="9"/>
      <c r="I847" s="9"/>
      <c r="J847" s="9"/>
      <c r="K847" s="9"/>
      <c r="L847" s="9"/>
      <c r="M847" s="9"/>
      <c r="N847" s="9"/>
      <c r="O847" s="9"/>
      <c r="P847" s="9"/>
      <c r="Q847" s="9"/>
      <c r="R847" s="9"/>
      <c r="S847" s="9"/>
      <c r="T847" s="9"/>
      <c r="U847" s="9"/>
      <c r="V847" s="9"/>
      <c r="W847" s="9"/>
      <c r="X847" s="9"/>
      <c r="Y847" s="9"/>
      <c r="Z847" s="9"/>
      <c r="AA847" s="9"/>
    </row>
    <row r="848" spans="1:27">
      <c r="A848" s="9"/>
      <c r="B848" s="9"/>
      <c r="C848" s="5"/>
      <c r="D848" s="5"/>
      <c r="E848" s="5"/>
      <c r="F848" s="9"/>
      <c r="G848" s="9"/>
      <c r="H848" s="9"/>
      <c r="I848" s="9"/>
      <c r="J848" s="9"/>
      <c r="K848" s="9"/>
      <c r="L848" s="9"/>
      <c r="M848" s="9"/>
      <c r="N848" s="9"/>
      <c r="O848" s="9"/>
      <c r="P848" s="9"/>
      <c r="Q848" s="9"/>
      <c r="R848" s="9"/>
      <c r="S848" s="9"/>
      <c r="T848" s="9"/>
      <c r="U848" s="9"/>
      <c r="V848" s="9"/>
      <c r="W848" s="9"/>
      <c r="X848" s="9"/>
      <c r="Y848" s="9"/>
      <c r="Z848" s="9"/>
      <c r="AA848" s="9"/>
    </row>
    <row r="849" spans="1:27">
      <c r="A849" s="9"/>
      <c r="B849" s="9"/>
      <c r="C849" s="5"/>
      <c r="D849" s="5"/>
      <c r="E849" s="5"/>
      <c r="F849" s="9"/>
      <c r="G849" s="9"/>
      <c r="H849" s="9"/>
      <c r="I849" s="9"/>
      <c r="J849" s="9"/>
      <c r="K849" s="9"/>
      <c r="L849" s="9"/>
      <c r="M849" s="9"/>
      <c r="N849" s="9"/>
      <c r="O849" s="9"/>
      <c r="P849" s="9"/>
      <c r="Q849" s="9"/>
      <c r="R849" s="9"/>
      <c r="S849" s="9"/>
      <c r="T849" s="9"/>
      <c r="U849" s="9"/>
      <c r="V849" s="9"/>
      <c r="W849" s="9"/>
      <c r="X849" s="9"/>
      <c r="Y849" s="9"/>
      <c r="Z849" s="9"/>
      <c r="AA849" s="9"/>
    </row>
    <row r="850" spans="1:27">
      <c r="A850" s="9"/>
      <c r="B850" s="9"/>
      <c r="C850" s="5"/>
      <c r="D850" s="5"/>
      <c r="E850" s="5"/>
      <c r="F850" s="9"/>
      <c r="G850" s="9"/>
      <c r="H850" s="9"/>
      <c r="I850" s="9"/>
      <c r="J850" s="9"/>
      <c r="K850" s="9"/>
      <c r="L850" s="9"/>
      <c r="M850" s="9"/>
      <c r="N850" s="9"/>
      <c r="O850" s="9"/>
      <c r="P850" s="9"/>
      <c r="Q850" s="9"/>
      <c r="R850" s="9"/>
      <c r="S850" s="9"/>
      <c r="T850" s="9"/>
      <c r="U850" s="9"/>
      <c r="V850" s="9"/>
      <c r="W850" s="9"/>
      <c r="X850" s="9"/>
      <c r="Y850" s="9"/>
      <c r="Z850" s="9"/>
      <c r="AA850" s="9"/>
    </row>
    <row r="851" spans="1:27">
      <c r="A851" s="9"/>
      <c r="B851" s="9"/>
      <c r="C851" s="5"/>
      <c r="D851" s="5"/>
      <c r="E851" s="5"/>
      <c r="F851" s="9"/>
      <c r="G851" s="9"/>
      <c r="H851" s="9"/>
      <c r="I851" s="9"/>
      <c r="J851" s="9"/>
      <c r="K851" s="9"/>
      <c r="L851" s="9"/>
      <c r="M851" s="9"/>
      <c r="N851" s="9"/>
      <c r="O851" s="9"/>
      <c r="P851" s="9"/>
      <c r="Q851" s="9"/>
      <c r="R851" s="9"/>
      <c r="S851" s="9"/>
      <c r="T851" s="9"/>
      <c r="U851" s="9"/>
      <c r="V851" s="9"/>
      <c r="W851" s="9"/>
      <c r="X851" s="9"/>
      <c r="Y851" s="9"/>
      <c r="Z851" s="9"/>
      <c r="AA851" s="9"/>
    </row>
    <row r="852" spans="1:27">
      <c r="A852" s="9"/>
      <c r="B852" s="9"/>
      <c r="C852" s="5"/>
      <c r="D852" s="5"/>
      <c r="E852" s="5"/>
      <c r="F852" s="9"/>
      <c r="G852" s="9"/>
      <c r="H852" s="9"/>
      <c r="I852" s="9"/>
      <c r="J852" s="9"/>
      <c r="K852" s="9"/>
      <c r="L852" s="9"/>
      <c r="M852" s="9"/>
      <c r="N852" s="9"/>
      <c r="O852" s="9"/>
      <c r="P852" s="9"/>
      <c r="Q852" s="9"/>
      <c r="R852" s="9"/>
      <c r="S852" s="9"/>
      <c r="T852" s="9"/>
      <c r="U852" s="9"/>
      <c r="V852" s="9"/>
      <c r="W852" s="9"/>
      <c r="X852" s="9"/>
      <c r="Y852" s="9"/>
      <c r="Z852" s="9"/>
      <c r="AA852" s="9"/>
    </row>
    <row r="853" spans="1:27">
      <c r="A853" s="9"/>
      <c r="B853" s="9"/>
      <c r="C853" s="5"/>
      <c r="D853" s="5"/>
      <c r="E853" s="5"/>
      <c r="F853" s="9"/>
      <c r="G853" s="9"/>
      <c r="H853" s="9"/>
      <c r="I853" s="9"/>
      <c r="J853" s="9"/>
      <c r="K853" s="9"/>
      <c r="L853" s="9"/>
      <c r="M853" s="9"/>
      <c r="N853" s="9"/>
      <c r="O853" s="9"/>
      <c r="P853" s="9"/>
      <c r="Q853" s="9"/>
      <c r="R853" s="9"/>
      <c r="S853" s="9"/>
      <c r="T853" s="9"/>
      <c r="U853" s="9"/>
      <c r="V853" s="9"/>
      <c r="W853" s="9"/>
      <c r="X853" s="9"/>
      <c r="Y853" s="9"/>
      <c r="Z853" s="9"/>
      <c r="AA853" s="9"/>
    </row>
    <row r="854" spans="1:27">
      <c r="A854" s="9"/>
      <c r="B854" s="9"/>
      <c r="C854" s="5"/>
      <c r="D854" s="5"/>
      <c r="E854" s="5"/>
      <c r="F854" s="9"/>
      <c r="G854" s="9"/>
      <c r="H854" s="9"/>
      <c r="I854" s="9"/>
      <c r="J854" s="9"/>
      <c r="K854" s="9"/>
      <c r="L854" s="9"/>
      <c r="M854" s="9"/>
      <c r="N854" s="9"/>
      <c r="O854" s="9"/>
      <c r="P854" s="9"/>
      <c r="Q854" s="9"/>
      <c r="R854" s="9"/>
      <c r="S854" s="9"/>
      <c r="T854" s="9"/>
      <c r="U854" s="9"/>
      <c r="V854" s="9"/>
      <c r="W854" s="9"/>
      <c r="X854" s="9"/>
      <c r="Y854" s="9"/>
      <c r="Z854" s="9"/>
      <c r="AA854" s="9"/>
    </row>
    <row r="855" spans="1:27">
      <c r="A855" s="9"/>
      <c r="B855" s="9"/>
      <c r="C855" s="5"/>
      <c r="D855" s="5"/>
      <c r="E855" s="5"/>
      <c r="F855" s="9"/>
      <c r="G855" s="9"/>
      <c r="H855" s="9"/>
      <c r="I855" s="9"/>
      <c r="J855" s="9"/>
      <c r="K855" s="9"/>
      <c r="L855" s="9"/>
      <c r="M855" s="9"/>
      <c r="N855" s="9"/>
      <c r="O855" s="9"/>
      <c r="P855" s="9"/>
      <c r="Q855" s="9"/>
      <c r="R855" s="9"/>
      <c r="S855" s="9"/>
      <c r="T855" s="9"/>
      <c r="U855" s="9"/>
      <c r="V855" s="9"/>
      <c r="W855" s="9"/>
      <c r="X855" s="9"/>
      <c r="Y855" s="9"/>
      <c r="Z855" s="9"/>
      <c r="AA855" s="9"/>
    </row>
    <row r="856" spans="1:27">
      <c r="A856" s="9"/>
      <c r="B856" s="9"/>
      <c r="C856" s="5"/>
      <c r="D856" s="5"/>
      <c r="E856" s="5"/>
      <c r="F856" s="9"/>
      <c r="G856" s="9"/>
      <c r="H856" s="9"/>
      <c r="I856" s="9"/>
      <c r="J856" s="9"/>
      <c r="K856" s="9"/>
      <c r="L856" s="9"/>
      <c r="M856" s="9"/>
      <c r="N856" s="9"/>
      <c r="O856" s="9"/>
      <c r="P856" s="9"/>
      <c r="Q856" s="9"/>
      <c r="R856" s="9"/>
      <c r="S856" s="9"/>
      <c r="T856" s="9"/>
      <c r="U856" s="9"/>
      <c r="V856" s="9"/>
      <c r="W856" s="9"/>
      <c r="X856" s="9"/>
      <c r="Y856" s="9"/>
      <c r="Z856" s="9"/>
      <c r="AA856" s="9"/>
    </row>
    <row r="857" spans="1:27">
      <c r="A857" s="9"/>
      <c r="B857" s="9"/>
      <c r="C857" s="5"/>
      <c r="D857" s="5"/>
      <c r="E857" s="5"/>
      <c r="F857" s="9"/>
      <c r="G857" s="9"/>
      <c r="H857" s="9"/>
      <c r="I857" s="9"/>
      <c r="J857" s="9"/>
      <c r="K857" s="9"/>
      <c r="L857" s="9"/>
      <c r="M857" s="9"/>
      <c r="N857" s="9"/>
      <c r="O857" s="9"/>
      <c r="P857" s="9"/>
      <c r="Q857" s="9"/>
      <c r="R857" s="9"/>
      <c r="S857" s="9"/>
      <c r="T857" s="9"/>
      <c r="U857" s="9"/>
      <c r="V857" s="9"/>
      <c r="W857" s="9"/>
      <c r="X857" s="9"/>
      <c r="Y857" s="9"/>
      <c r="Z857" s="9"/>
      <c r="AA857" s="9"/>
    </row>
    <row r="858" spans="1:27">
      <c r="A858" s="9"/>
      <c r="B858" s="9"/>
      <c r="C858" s="5"/>
      <c r="D858" s="5"/>
      <c r="E858" s="5"/>
      <c r="F858" s="9"/>
      <c r="G858" s="9"/>
      <c r="H858" s="9"/>
      <c r="I858" s="9"/>
      <c r="J858" s="9"/>
      <c r="K858" s="9"/>
      <c r="L858" s="9"/>
      <c r="M858" s="9"/>
      <c r="N858" s="9"/>
      <c r="O858" s="9"/>
      <c r="P858" s="9"/>
      <c r="Q858" s="9"/>
      <c r="R858" s="9"/>
      <c r="S858" s="9"/>
      <c r="T858" s="9"/>
      <c r="U858" s="9"/>
      <c r="V858" s="9"/>
      <c r="W858" s="9"/>
      <c r="X858" s="9"/>
      <c r="Y858" s="9"/>
      <c r="Z858" s="9"/>
      <c r="AA858" s="9"/>
    </row>
    <row r="859" spans="1:27">
      <c r="A859" s="9"/>
      <c r="B859" s="9"/>
      <c r="C859" s="5"/>
      <c r="D859" s="5"/>
      <c r="E859" s="5"/>
      <c r="F859" s="9"/>
      <c r="G859" s="9"/>
      <c r="H859" s="9"/>
      <c r="I859" s="9"/>
      <c r="J859" s="9"/>
      <c r="K859" s="9"/>
      <c r="L859" s="9"/>
      <c r="M859" s="9"/>
      <c r="N859" s="9"/>
      <c r="O859" s="9"/>
      <c r="P859" s="9"/>
      <c r="Q859" s="9"/>
      <c r="R859" s="9"/>
      <c r="S859" s="9"/>
      <c r="T859" s="9"/>
      <c r="U859" s="9"/>
      <c r="V859" s="9"/>
      <c r="W859" s="9"/>
      <c r="X859" s="9"/>
      <c r="Y859" s="9"/>
      <c r="Z859" s="9"/>
      <c r="AA859" s="9"/>
    </row>
    <row r="860" spans="1:27">
      <c r="A860" s="9"/>
      <c r="B860" s="9"/>
      <c r="C860" s="5"/>
      <c r="D860" s="5"/>
      <c r="E860" s="5"/>
      <c r="F860" s="9"/>
      <c r="G860" s="9"/>
      <c r="H860" s="9"/>
      <c r="I860" s="9"/>
      <c r="J860" s="9"/>
      <c r="K860" s="9"/>
      <c r="L860" s="9"/>
      <c r="M860" s="9"/>
      <c r="N860" s="9"/>
      <c r="O860" s="9"/>
      <c r="P860" s="9"/>
      <c r="Q860" s="9"/>
      <c r="R860" s="9"/>
      <c r="S860" s="9"/>
      <c r="T860" s="9"/>
      <c r="U860" s="9"/>
      <c r="V860" s="9"/>
      <c r="W860" s="9"/>
      <c r="X860" s="9"/>
      <c r="Y860" s="9"/>
      <c r="Z860" s="9"/>
      <c r="AA860" s="9"/>
    </row>
    <row r="861" spans="1:27">
      <c r="A861" s="9"/>
      <c r="B861" s="9"/>
      <c r="C861" s="5"/>
      <c r="D861" s="5"/>
      <c r="E861" s="5"/>
      <c r="F861" s="9"/>
      <c r="G861" s="9"/>
      <c r="H861" s="9"/>
      <c r="I861" s="9"/>
      <c r="J861" s="9"/>
      <c r="K861" s="9"/>
      <c r="L861" s="9"/>
      <c r="M861" s="9"/>
      <c r="N861" s="9"/>
      <c r="O861" s="9"/>
      <c r="P861" s="9"/>
      <c r="Q861" s="9"/>
      <c r="R861" s="9"/>
      <c r="S861" s="9"/>
      <c r="T861" s="9"/>
      <c r="U861" s="9"/>
      <c r="V861" s="9"/>
      <c r="W861" s="9"/>
      <c r="X861" s="9"/>
      <c r="Y861" s="9"/>
      <c r="Z861" s="9"/>
      <c r="AA861" s="9"/>
    </row>
    <row r="862" spans="1:27">
      <c r="A862" s="9"/>
      <c r="B862" s="9"/>
      <c r="C862" s="5"/>
      <c r="D862" s="5"/>
      <c r="E862" s="5"/>
      <c r="F862" s="9"/>
      <c r="G862" s="9"/>
      <c r="H862" s="9"/>
      <c r="I862" s="9"/>
      <c r="J862" s="9"/>
      <c r="K862" s="9"/>
      <c r="L862" s="9"/>
      <c r="M862" s="9"/>
      <c r="N862" s="9"/>
      <c r="O862" s="9"/>
      <c r="P862" s="9"/>
      <c r="Q862" s="9"/>
      <c r="R862" s="9"/>
      <c r="S862" s="9"/>
      <c r="T862" s="9"/>
      <c r="U862" s="9"/>
      <c r="V862" s="9"/>
      <c r="W862" s="9"/>
      <c r="X862" s="9"/>
      <c r="Y862" s="9"/>
      <c r="Z862" s="9"/>
      <c r="AA862" s="9"/>
    </row>
    <row r="863" spans="1:27">
      <c r="A863" s="9"/>
      <c r="B863" s="9"/>
      <c r="C863" s="5"/>
      <c r="D863" s="5"/>
      <c r="E863" s="5"/>
      <c r="F863" s="9"/>
      <c r="G863" s="9"/>
      <c r="H863" s="9"/>
      <c r="I863" s="9"/>
      <c r="J863" s="9"/>
      <c r="K863" s="9"/>
      <c r="L863" s="9"/>
      <c r="M863" s="9"/>
      <c r="N863" s="9"/>
      <c r="O863" s="9"/>
      <c r="P863" s="9"/>
      <c r="Q863" s="9"/>
      <c r="R863" s="9"/>
      <c r="S863" s="9"/>
      <c r="T863" s="9"/>
      <c r="U863" s="9"/>
      <c r="V863" s="9"/>
      <c r="W863" s="9"/>
      <c r="X863" s="9"/>
      <c r="Y863" s="9"/>
      <c r="Z863" s="9"/>
      <c r="AA863" s="9"/>
    </row>
    <row r="864" spans="1:27">
      <c r="A864" s="9"/>
      <c r="B864" s="9"/>
      <c r="C864" s="5"/>
      <c r="D864" s="5"/>
      <c r="E864" s="5"/>
      <c r="F864" s="9"/>
      <c r="G864" s="9"/>
      <c r="H864" s="9"/>
      <c r="I864" s="9"/>
      <c r="J864" s="9"/>
      <c r="K864" s="9"/>
      <c r="L864" s="9"/>
      <c r="M864" s="9"/>
      <c r="N864" s="9"/>
      <c r="O864" s="9"/>
      <c r="P864" s="9"/>
      <c r="Q864" s="9"/>
      <c r="R864" s="9"/>
      <c r="S864" s="9"/>
      <c r="T864" s="9"/>
      <c r="U864" s="9"/>
      <c r="V864" s="9"/>
      <c r="W864" s="9"/>
      <c r="X864" s="9"/>
      <c r="Y864" s="9"/>
      <c r="Z864" s="9"/>
      <c r="AA864" s="9"/>
    </row>
    <row r="865" spans="1:27">
      <c r="A865" s="9"/>
      <c r="B865" s="9"/>
      <c r="C865" s="5"/>
      <c r="D865" s="5"/>
      <c r="E865" s="5"/>
      <c r="F865" s="9"/>
      <c r="G865" s="9"/>
      <c r="H865" s="9"/>
      <c r="I865" s="9"/>
      <c r="J865" s="9"/>
      <c r="K865" s="9"/>
      <c r="L865" s="9"/>
      <c r="M865" s="9"/>
      <c r="N865" s="9"/>
      <c r="O865" s="9"/>
      <c r="P865" s="9"/>
      <c r="Q865" s="9"/>
      <c r="R865" s="9"/>
      <c r="S865" s="9"/>
      <c r="T865" s="9"/>
      <c r="U865" s="9"/>
      <c r="V865" s="9"/>
      <c r="W865" s="9"/>
      <c r="X865" s="9"/>
      <c r="Y865" s="9"/>
      <c r="Z865" s="9"/>
      <c r="AA865" s="9"/>
    </row>
    <row r="866" spans="1:27">
      <c r="A866" s="9"/>
      <c r="B866" s="9"/>
      <c r="C866" s="5"/>
      <c r="D866" s="5"/>
      <c r="E866" s="5"/>
      <c r="F866" s="9"/>
      <c r="G866" s="9"/>
      <c r="H866" s="9"/>
      <c r="I866" s="9"/>
      <c r="J866" s="9"/>
      <c r="K866" s="9"/>
      <c r="L866" s="9"/>
      <c r="M866" s="9"/>
      <c r="N866" s="9"/>
      <c r="O866" s="9"/>
      <c r="P866" s="9"/>
      <c r="Q866" s="9"/>
      <c r="R866" s="9"/>
      <c r="S866" s="9"/>
      <c r="T866" s="9"/>
      <c r="U866" s="9"/>
      <c r="V866" s="9"/>
      <c r="W866" s="9"/>
      <c r="X866" s="9"/>
      <c r="Y866" s="9"/>
      <c r="Z866" s="9"/>
      <c r="AA866" s="9"/>
    </row>
    <row r="867" spans="1:27">
      <c r="A867" s="9"/>
      <c r="B867" s="9"/>
      <c r="C867" s="5"/>
      <c r="D867" s="5"/>
      <c r="E867" s="5"/>
      <c r="F867" s="9"/>
      <c r="G867" s="9"/>
      <c r="H867" s="9"/>
      <c r="I867" s="9"/>
      <c r="J867" s="9"/>
      <c r="K867" s="9"/>
      <c r="L867" s="9"/>
      <c r="M867" s="9"/>
      <c r="N867" s="9"/>
      <c r="O867" s="9"/>
      <c r="P867" s="9"/>
      <c r="Q867" s="9"/>
      <c r="R867" s="9"/>
      <c r="S867" s="9"/>
      <c r="T867" s="9"/>
      <c r="U867" s="9"/>
      <c r="V867" s="9"/>
      <c r="W867" s="9"/>
      <c r="X867" s="9"/>
      <c r="Y867" s="9"/>
      <c r="Z867" s="9"/>
      <c r="AA867" s="9"/>
    </row>
    <row r="868" spans="1:27">
      <c r="A868" s="9"/>
      <c r="B868" s="9"/>
      <c r="C868" s="5"/>
      <c r="D868" s="5"/>
      <c r="E868" s="5"/>
      <c r="F868" s="9"/>
      <c r="G868" s="9"/>
      <c r="H868" s="9"/>
      <c r="I868" s="9"/>
      <c r="J868" s="9"/>
      <c r="K868" s="9"/>
      <c r="L868" s="9"/>
      <c r="M868" s="9"/>
      <c r="N868" s="9"/>
      <c r="O868" s="9"/>
      <c r="P868" s="9"/>
      <c r="Q868" s="9"/>
      <c r="R868" s="9"/>
      <c r="S868" s="9"/>
      <c r="T868" s="9"/>
      <c r="U868" s="9"/>
      <c r="V868" s="9"/>
      <c r="W868" s="9"/>
      <c r="X868" s="9"/>
      <c r="Y868" s="9"/>
      <c r="Z868" s="9"/>
      <c r="AA868" s="9"/>
    </row>
    <row r="869" spans="1:27">
      <c r="A869" s="9"/>
      <c r="B869" s="9"/>
      <c r="C869" s="5"/>
      <c r="D869" s="5"/>
      <c r="E869" s="5"/>
      <c r="F869" s="9"/>
      <c r="G869" s="9"/>
      <c r="H869" s="9"/>
      <c r="I869" s="9"/>
      <c r="J869" s="9"/>
      <c r="K869" s="9"/>
      <c r="L869" s="9"/>
      <c r="M869" s="9"/>
      <c r="N869" s="9"/>
      <c r="O869" s="9"/>
      <c r="P869" s="9"/>
      <c r="Q869" s="9"/>
      <c r="R869" s="9"/>
      <c r="S869" s="9"/>
      <c r="T869" s="9"/>
      <c r="U869" s="9"/>
      <c r="V869" s="9"/>
      <c r="W869" s="9"/>
      <c r="X869" s="9"/>
      <c r="Y869" s="9"/>
      <c r="Z869" s="9"/>
      <c r="AA869" s="9"/>
    </row>
    <row r="870" spans="1:27">
      <c r="A870" s="9"/>
      <c r="B870" s="9"/>
      <c r="C870" s="5"/>
      <c r="D870" s="5"/>
      <c r="E870" s="5"/>
      <c r="F870" s="9"/>
      <c r="G870" s="9"/>
      <c r="H870" s="9"/>
      <c r="I870" s="9"/>
      <c r="J870" s="9"/>
      <c r="K870" s="9"/>
      <c r="L870" s="9"/>
      <c r="M870" s="9"/>
      <c r="N870" s="9"/>
      <c r="O870" s="9"/>
      <c r="P870" s="9"/>
      <c r="Q870" s="9"/>
      <c r="R870" s="9"/>
      <c r="S870" s="9"/>
      <c r="T870" s="9"/>
      <c r="U870" s="9"/>
      <c r="V870" s="9"/>
      <c r="W870" s="9"/>
      <c r="X870" s="9"/>
      <c r="Y870" s="9"/>
      <c r="Z870" s="9"/>
      <c r="AA870" s="9"/>
    </row>
    <row r="871" spans="1:27">
      <c r="A871" s="9"/>
      <c r="B871" s="9"/>
      <c r="C871" s="5"/>
      <c r="D871" s="5"/>
      <c r="E871" s="5"/>
      <c r="F871" s="9"/>
      <c r="G871" s="9"/>
      <c r="H871" s="9"/>
      <c r="I871" s="9"/>
      <c r="J871" s="9"/>
      <c r="K871" s="9"/>
      <c r="L871" s="9"/>
      <c r="M871" s="9"/>
      <c r="N871" s="9"/>
      <c r="O871" s="9"/>
      <c r="P871" s="9"/>
      <c r="Q871" s="9"/>
      <c r="R871" s="9"/>
      <c r="S871" s="9"/>
      <c r="T871" s="9"/>
      <c r="U871" s="9"/>
      <c r="V871" s="9"/>
      <c r="W871" s="9"/>
      <c r="X871" s="9"/>
      <c r="Y871" s="9"/>
      <c r="Z871" s="9"/>
      <c r="AA871" s="9"/>
    </row>
    <row r="872" spans="1:27">
      <c r="A872" s="9"/>
      <c r="B872" s="9"/>
      <c r="C872" s="5"/>
      <c r="D872" s="5"/>
      <c r="E872" s="5"/>
      <c r="F872" s="9"/>
      <c r="G872" s="9"/>
      <c r="H872" s="9"/>
      <c r="I872" s="9"/>
      <c r="J872" s="9"/>
      <c r="K872" s="9"/>
      <c r="L872" s="9"/>
      <c r="M872" s="9"/>
      <c r="N872" s="9"/>
      <c r="O872" s="9"/>
      <c r="P872" s="9"/>
      <c r="Q872" s="9"/>
      <c r="R872" s="9"/>
      <c r="S872" s="9"/>
      <c r="T872" s="9"/>
      <c r="U872" s="9"/>
      <c r="V872" s="9"/>
      <c r="W872" s="9"/>
      <c r="X872" s="9"/>
      <c r="Y872" s="9"/>
      <c r="Z872" s="9"/>
      <c r="AA872" s="9"/>
    </row>
    <row r="873" spans="1:27">
      <c r="A873" s="9"/>
      <c r="B873" s="9"/>
      <c r="C873" s="5"/>
      <c r="D873" s="5"/>
      <c r="E873" s="5"/>
      <c r="F873" s="9"/>
      <c r="G873" s="9"/>
      <c r="H873" s="9"/>
      <c r="I873" s="9"/>
      <c r="J873" s="9"/>
      <c r="K873" s="9"/>
      <c r="L873" s="9"/>
      <c r="M873" s="9"/>
      <c r="N873" s="9"/>
      <c r="O873" s="9"/>
      <c r="P873" s="9"/>
      <c r="Q873" s="9"/>
      <c r="R873" s="9"/>
      <c r="S873" s="9"/>
      <c r="T873" s="9"/>
      <c r="U873" s="9"/>
      <c r="V873" s="9"/>
      <c r="W873" s="9"/>
      <c r="X873" s="9"/>
      <c r="Y873" s="9"/>
      <c r="Z873" s="9"/>
      <c r="AA873" s="9"/>
    </row>
    <row r="874" spans="1:27">
      <c r="A874" s="9"/>
      <c r="B874" s="9"/>
      <c r="C874" s="5"/>
      <c r="D874" s="5"/>
      <c r="E874" s="5"/>
      <c r="F874" s="9"/>
      <c r="G874" s="9"/>
      <c r="H874" s="9"/>
      <c r="I874" s="9"/>
      <c r="J874" s="9"/>
      <c r="K874" s="9"/>
      <c r="L874" s="9"/>
      <c r="M874" s="9"/>
      <c r="N874" s="9"/>
      <c r="O874" s="9"/>
      <c r="P874" s="9"/>
      <c r="Q874" s="9"/>
      <c r="R874" s="9"/>
      <c r="S874" s="9"/>
      <c r="T874" s="9"/>
      <c r="U874" s="9"/>
      <c r="V874" s="9"/>
      <c r="W874" s="9"/>
      <c r="X874" s="9"/>
      <c r="Y874" s="9"/>
      <c r="Z874" s="9"/>
      <c r="AA874" s="9"/>
    </row>
    <row r="875" spans="1:27">
      <c r="A875" s="9"/>
      <c r="B875" s="9"/>
      <c r="C875" s="5"/>
      <c r="D875" s="5"/>
      <c r="E875" s="5"/>
      <c r="F875" s="9"/>
      <c r="G875" s="9"/>
      <c r="H875" s="9"/>
      <c r="I875" s="9"/>
      <c r="J875" s="9"/>
      <c r="K875" s="9"/>
      <c r="L875" s="9"/>
      <c r="M875" s="9"/>
      <c r="N875" s="9"/>
      <c r="O875" s="9"/>
      <c r="P875" s="9"/>
      <c r="Q875" s="9"/>
      <c r="R875" s="9"/>
      <c r="S875" s="9"/>
      <c r="T875" s="9"/>
      <c r="U875" s="9"/>
      <c r="V875" s="9"/>
      <c r="W875" s="9"/>
      <c r="X875" s="9"/>
      <c r="Y875" s="9"/>
      <c r="Z875" s="9"/>
      <c r="AA875" s="9"/>
    </row>
    <row r="876" spans="1:27">
      <c r="A876" s="9"/>
      <c r="B876" s="9"/>
      <c r="C876" s="5"/>
      <c r="D876" s="5"/>
      <c r="E876" s="5"/>
      <c r="F876" s="9"/>
      <c r="G876" s="9"/>
      <c r="H876" s="9"/>
      <c r="I876" s="9"/>
      <c r="J876" s="9"/>
      <c r="K876" s="9"/>
      <c r="L876" s="9"/>
      <c r="M876" s="9"/>
      <c r="N876" s="9"/>
      <c r="O876" s="9"/>
      <c r="P876" s="9"/>
      <c r="Q876" s="9"/>
      <c r="R876" s="9"/>
      <c r="S876" s="9"/>
      <c r="T876" s="9"/>
      <c r="U876" s="9"/>
      <c r="V876" s="9"/>
      <c r="W876" s="9"/>
      <c r="X876" s="9"/>
      <c r="Y876" s="9"/>
      <c r="Z876" s="9"/>
      <c r="AA876" s="9"/>
    </row>
    <row r="877" spans="1:27">
      <c r="A877" s="9"/>
      <c r="B877" s="9"/>
      <c r="C877" s="5"/>
      <c r="D877" s="5"/>
      <c r="E877" s="5"/>
      <c r="F877" s="9"/>
      <c r="G877" s="9"/>
      <c r="H877" s="9"/>
      <c r="I877" s="9"/>
      <c r="J877" s="9"/>
      <c r="K877" s="9"/>
      <c r="L877" s="9"/>
      <c r="M877" s="9"/>
      <c r="N877" s="9"/>
      <c r="O877" s="9"/>
      <c r="P877" s="9"/>
      <c r="Q877" s="9"/>
      <c r="R877" s="9"/>
      <c r="S877" s="9"/>
      <c r="T877" s="9"/>
      <c r="U877" s="9"/>
      <c r="V877" s="9"/>
      <c r="W877" s="9"/>
      <c r="X877" s="9"/>
      <c r="Y877" s="9"/>
      <c r="Z877" s="9"/>
      <c r="AA877" s="9"/>
    </row>
    <row r="878" spans="1:27">
      <c r="A878" s="9"/>
      <c r="B878" s="9"/>
      <c r="C878" s="5"/>
      <c r="D878" s="5"/>
      <c r="E878" s="5"/>
      <c r="F878" s="9"/>
      <c r="G878" s="9"/>
      <c r="H878" s="9"/>
      <c r="I878" s="9"/>
      <c r="J878" s="9"/>
      <c r="K878" s="9"/>
      <c r="L878" s="9"/>
      <c r="M878" s="9"/>
      <c r="N878" s="9"/>
      <c r="O878" s="9"/>
      <c r="P878" s="9"/>
      <c r="Q878" s="9"/>
      <c r="R878" s="9"/>
      <c r="S878" s="9"/>
      <c r="T878" s="9"/>
      <c r="U878" s="9"/>
      <c r="V878" s="9"/>
      <c r="W878" s="9"/>
      <c r="X878" s="9"/>
      <c r="Y878" s="9"/>
      <c r="Z878" s="9"/>
      <c r="AA878" s="9"/>
    </row>
    <row r="879" spans="1:27">
      <c r="A879" s="9"/>
      <c r="B879" s="9"/>
      <c r="C879" s="5"/>
      <c r="D879" s="5"/>
      <c r="E879" s="5"/>
      <c r="F879" s="9"/>
      <c r="G879" s="9"/>
      <c r="H879" s="9"/>
      <c r="I879" s="9"/>
      <c r="J879" s="9"/>
      <c r="K879" s="9"/>
      <c r="L879" s="9"/>
      <c r="M879" s="9"/>
      <c r="N879" s="9"/>
      <c r="O879" s="9"/>
      <c r="P879" s="9"/>
      <c r="Q879" s="9"/>
      <c r="R879" s="9"/>
      <c r="S879" s="9"/>
      <c r="T879" s="9"/>
      <c r="U879" s="9"/>
      <c r="V879" s="9"/>
      <c r="W879" s="9"/>
      <c r="X879" s="9"/>
      <c r="Y879" s="9"/>
      <c r="Z879" s="9"/>
      <c r="AA879" s="9"/>
    </row>
    <row r="880" spans="1:27">
      <c r="A880" s="9"/>
      <c r="B880" s="9"/>
      <c r="C880" s="5"/>
      <c r="D880" s="5"/>
      <c r="E880" s="5"/>
      <c r="F880" s="9"/>
      <c r="G880" s="9"/>
      <c r="H880" s="9"/>
      <c r="I880" s="9"/>
      <c r="J880" s="9"/>
      <c r="K880" s="9"/>
      <c r="L880" s="9"/>
      <c r="M880" s="9"/>
      <c r="N880" s="9"/>
      <c r="O880" s="9"/>
      <c r="P880" s="9"/>
      <c r="Q880" s="9"/>
      <c r="R880" s="9"/>
      <c r="S880" s="9"/>
      <c r="T880" s="9"/>
      <c r="U880" s="9"/>
      <c r="V880" s="9"/>
      <c r="W880" s="9"/>
      <c r="X880" s="9"/>
      <c r="Y880" s="9"/>
      <c r="Z880" s="9"/>
      <c r="AA880" s="9"/>
    </row>
    <row r="881" spans="1:27">
      <c r="A881" s="9"/>
      <c r="B881" s="9"/>
      <c r="C881" s="5"/>
      <c r="D881" s="5"/>
      <c r="E881" s="5"/>
      <c r="F881" s="9"/>
      <c r="G881" s="9"/>
      <c r="H881" s="9"/>
      <c r="I881" s="9"/>
      <c r="J881" s="9"/>
      <c r="K881" s="9"/>
      <c r="L881" s="9"/>
      <c r="M881" s="9"/>
      <c r="N881" s="9"/>
      <c r="O881" s="9"/>
      <c r="P881" s="9"/>
      <c r="Q881" s="9"/>
      <c r="R881" s="9"/>
      <c r="S881" s="9"/>
      <c r="T881" s="9"/>
      <c r="U881" s="9"/>
      <c r="V881" s="9"/>
      <c r="W881" s="9"/>
      <c r="X881" s="9"/>
      <c r="Y881" s="9"/>
      <c r="Z881" s="9"/>
      <c r="AA881" s="9"/>
    </row>
    <row r="882" spans="1:27">
      <c r="A882" s="9"/>
      <c r="B882" s="9"/>
      <c r="C882" s="5"/>
      <c r="D882" s="5"/>
      <c r="E882" s="5"/>
      <c r="F882" s="9"/>
      <c r="G882" s="9"/>
      <c r="H882" s="9"/>
      <c r="I882" s="9"/>
      <c r="J882" s="9"/>
      <c r="K882" s="9"/>
      <c r="L882" s="9"/>
      <c r="M882" s="9"/>
      <c r="N882" s="9"/>
      <c r="O882" s="9"/>
      <c r="P882" s="9"/>
      <c r="Q882" s="9"/>
      <c r="R882" s="9"/>
      <c r="S882" s="9"/>
      <c r="T882" s="9"/>
      <c r="U882" s="9"/>
      <c r="V882" s="9"/>
      <c r="W882" s="9"/>
      <c r="X882" s="9"/>
      <c r="Y882" s="9"/>
      <c r="Z882" s="9"/>
      <c r="AA882" s="9"/>
    </row>
    <row r="883" spans="1:27">
      <c r="A883" s="9"/>
      <c r="B883" s="9"/>
      <c r="C883" s="5"/>
      <c r="D883" s="5"/>
      <c r="E883" s="5"/>
      <c r="F883" s="9"/>
      <c r="G883" s="9"/>
      <c r="H883" s="9"/>
      <c r="I883" s="9"/>
      <c r="J883" s="9"/>
      <c r="K883" s="9"/>
      <c r="L883" s="9"/>
      <c r="M883" s="9"/>
      <c r="N883" s="9"/>
      <c r="O883" s="9"/>
      <c r="P883" s="9"/>
      <c r="Q883" s="9"/>
      <c r="R883" s="9"/>
      <c r="S883" s="9"/>
      <c r="T883" s="9"/>
      <c r="U883" s="9"/>
      <c r="V883" s="9"/>
      <c r="W883" s="9"/>
      <c r="X883" s="9"/>
      <c r="Y883" s="9"/>
      <c r="Z883" s="9"/>
      <c r="AA883" s="9"/>
    </row>
    <row r="884" spans="1:27">
      <c r="A884" s="9"/>
      <c r="B884" s="9"/>
      <c r="C884" s="5"/>
      <c r="D884" s="5"/>
      <c r="E884" s="5"/>
      <c r="F884" s="9"/>
      <c r="G884" s="9"/>
      <c r="H884" s="9"/>
      <c r="I884" s="9"/>
      <c r="J884" s="9"/>
      <c r="K884" s="9"/>
      <c r="L884" s="9"/>
      <c r="M884" s="9"/>
      <c r="N884" s="9"/>
      <c r="O884" s="9"/>
      <c r="P884" s="9"/>
      <c r="Q884" s="9"/>
      <c r="R884" s="9"/>
      <c r="S884" s="9"/>
      <c r="T884" s="9"/>
      <c r="U884" s="9"/>
      <c r="V884" s="9"/>
      <c r="W884" s="9"/>
      <c r="X884" s="9"/>
      <c r="Y884" s="9"/>
      <c r="Z884" s="9"/>
      <c r="AA884" s="9"/>
    </row>
    <row r="885" spans="1:27">
      <c r="A885" s="9"/>
      <c r="B885" s="9"/>
      <c r="C885" s="5"/>
      <c r="D885" s="5"/>
      <c r="E885" s="5"/>
      <c r="F885" s="9"/>
      <c r="G885" s="9"/>
      <c r="H885" s="9"/>
      <c r="I885" s="9"/>
      <c r="J885" s="9"/>
      <c r="K885" s="9"/>
      <c r="L885" s="9"/>
      <c r="M885" s="9"/>
      <c r="N885" s="9"/>
      <c r="O885" s="9"/>
      <c r="P885" s="9"/>
      <c r="Q885" s="9"/>
      <c r="R885" s="9"/>
      <c r="S885" s="9"/>
      <c r="T885" s="9"/>
      <c r="U885" s="9"/>
      <c r="V885" s="9"/>
      <c r="W885" s="9"/>
      <c r="X885" s="9"/>
      <c r="Y885" s="9"/>
      <c r="Z885" s="9"/>
      <c r="AA885" s="9"/>
    </row>
    <row r="886" spans="1:27">
      <c r="A886" s="9"/>
      <c r="B886" s="9"/>
      <c r="C886" s="5"/>
      <c r="D886" s="5"/>
      <c r="E886" s="5"/>
      <c r="F886" s="9"/>
      <c r="G886" s="9"/>
      <c r="H886" s="9"/>
      <c r="I886" s="9"/>
      <c r="J886" s="9"/>
      <c r="K886" s="9"/>
      <c r="L886" s="9"/>
      <c r="M886" s="9"/>
      <c r="N886" s="9"/>
      <c r="O886" s="9"/>
      <c r="P886" s="9"/>
      <c r="Q886" s="9"/>
      <c r="R886" s="9"/>
      <c r="S886" s="9"/>
      <c r="T886" s="9"/>
      <c r="U886" s="9"/>
      <c r="V886" s="9"/>
      <c r="W886" s="9"/>
      <c r="X886" s="9"/>
      <c r="Y886" s="9"/>
      <c r="Z886" s="9"/>
      <c r="AA886" s="9"/>
    </row>
    <row r="887" spans="1:27">
      <c r="A887" s="9"/>
      <c r="B887" s="9"/>
      <c r="C887" s="5"/>
      <c r="D887" s="5"/>
      <c r="E887" s="5"/>
      <c r="F887" s="9"/>
      <c r="G887" s="9"/>
      <c r="H887" s="9"/>
      <c r="I887" s="9"/>
      <c r="J887" s="9"/>
      <c r="K887" s="9"/>
      <c r="L887" s="9"/>
      <c r="M887" s="9"/>
      <c r="N887" s="9"/>
      <c r="O887" s="9"/>
      <c r="P887" s="9"/>
      <c r="Q887" s="9"/>
      <c r="R887" s="9"/>
      <c r="S887" s="9"/>
      <c r="T887" s="9"/>
      <c r="U887" s="9"/>
      <c r="V887" s="9"/>
      <c r="W887" s="9"/>
      <c r="X887" s="9"/>
      <c r="Y887" s="9"/>
      <c r="Z887" s="9"/>
      <c r="AA887" s="9"/>
    </row>
    <row r="888" spans="1:27">
      <c r="A888" s="9"/>
      <c r="B888" s="9"/>
      <c r="C888" s="5"/>
      <c r="D888" s="5"/>
      <c r="E888" s="5"/>
      <c r="F888" s="9"/>
      <c r="G888" s="9"/>
      <c r="H888" s="9"/>
      <c r="I888" s="9"/>
      <c r="J888" s="9"/>
      <c r="K888" s="9"/>
      <c r="L888" s="9"/>
      <c r="M888" s="9"/>
      <c r="N888" s="9"/>
      <c r="O888" s="9"/>
      <c r="P888" s="9"/>
      <c r="Q888" s="9"/>
      <c r="R888" s="9"/>
      <c r="S888" s="9"/>
      <c r="T888" s="9"/>
      <c r="U888" s="9"/>
      <c r="V888" s="9"/>
      <c r="W888" s="9"/>
      <c r="X888" s="9"/>
      <c r="Y888" s="9"/>
      <c r="Z888" s="9"/>
      <c r="AA888" s="9"/>
    </row>
    <row r="889" spans="1:27">
      <c r="A889" s="9"/>
      <c r="B889" s="9"/>
      <c r="C889" s="5"/>
      <c r="D889" s="5"/>
      <c r="E889" s="5"/>
      <c r="F889" s="9"/>
      <c r="G889" s="9"/>
      <c r="H889" s="9"/>
      <c r="I889" s="9"/>
      <c r="J889" s="9"/>
      <c r="K889" s="9"/>
      <c r="L889" s="9"/>
      <c r="M889" s="9"/>
      <c r="N889" s="9"/>
      <c r="O889" s="9"/>
      <c r="P889" s="9"/>
      <c r="Q889" s="9"/>
      <c r="R889" s="9"/>
      <c r="S889" s="9"/>
      <c r="T889" s="9"/>
      <c r="U889" s="9"/>
      <c r="V889" s="9"/>
      <c r="W889" s="9"/>
      <c r="X889" s="9"/>
      <c r="Y889" s="9"/>
      <c r="Z889" s="9"/>
      <c r="AA889" s="9"/>
    </row>
    <row r="890" spans="1:27">
      <c r="A890" s="9"/>
      <c r="B890" s="9"/>
      <c r="C890" s="5"/>
      <c r="D890" s="5"/>
      <c r="E890" s="5"/>
      <c r="F890" s="9"/>
      <c r="G890" s="9"/>
      <c r="H890" s="9"/>
      <c r="I890" s="9"/>
      <c r="J890" s="9"/>
      <c r="K890" s="9"/>
      <c r="L890" s="9"/>
      <c r="M890" s="9"/>
      <c r="N890" s="9"/>
      <c r="O890" s="9"/>
      <c r="P890" s="9"/>
      <c r="Q890" s="9"/>
      <c r="R890" s="9"/>
      <c r="S890" s="9"/>
      <c r="T890" s="9"/>
      <c r="U890" s="9"/>
      <c r="V890" s="9"/>
      <c r="W890" s="9"/>
      <c r="X890" s="9"/>
      <c r="Y890" s="9"/>
      <c r="Z890" s="9"/>
      <c r="AA890" s="9"/>
    </row>
    <row r="891" spans="1:27">
      <c r="A891" s="9"/>
      <c r="B891" s="9"/>
      <c r="C891" s="5"/>
      <c r="D891" s="5"/>
      <c r="E891" s="5"/>
      <c r="F891" s="9"/>
      <c r="G891" s="9"/>
      <c r="H891" s="9"/>
      <c r="I891" s="9"/>
      <c r="J891" s="9"/>
      <c r="K891" s="9"/>
      <c r="L891" s="9"/>
      <c r="M891" s="9"/>
      <c r="N891" s="9"/>
      <c r="O891" s="9"/>
      <c r="P891" s="9"/>
      <c r="Q891" s="9"/>
      <c r="R891" s="9"/>
      <c r="S891" s="9"/>
      <c r="T891" s="9"/>
      <c r="U891" s="9"/>
      <c r="V891" s="9"/>
      <c r="W891" s="9"/>
      <c r="X891" s="9"/>
      <c r="Y891" s="9"/>
      <c r="Z891" s="9"/>
      <c r="AA891" s="9"/>
    </row>
    <row r="892" spans="1:27">
      <c r="A892" s="9"/>
      <c r="B892" s="9"/>
      <c r="C892" s="5"/>
      <c r="D892" s="5"/>
      <c r="E892" s="5"/>
      <c r="F892" s="9"/>
      <c r="G892" s="9"/>
      <c r="H892" s="9"/>
      <c r="I892" s="9"/>
      <c r="J892" s="9"/>
      <c r="K892" s="9"/>
      <c r="L892" s="9"/>
      <c r="M892" s="9"/>
      <c r="N892" s="9"/>
      <c r="O892" s="9"/>
      <c r="P892" s="9"/>
      <c r="Q892" s="9"/>
      <c r="R892" s="9"/>
      <c r="S892" s="9"/>
      <c r="T892" s="9"/>
      <c r="U892" s="9"/>
      <c r="V892" s="9"/>
      <c r="W892" s="9"/>
      <c r="X892" s="9"/>
      <c r="Y892" s="9"/>
      <c r="Z892" s="9"/>
      <c r="AA892" s="9"/>
    </row>
    <row r="893" spans="1:27">
      <c r="A893" s="9"/>
      <c r="B893" s="9"/>
      <c r="C893" s="5"/>
      <c r="D893" s="5"/>
      <c r="E893" s="5"/>
      <c r="F893" s="9"/>
      <c r="G893" s="9"/>
      <c r="H893" s="9"/>
      <c r="I893" s="9"/>
      <c r="J893" s="9"/>
      <c r="K893" s="9"/>
      <c r="L893" s="9"/>
      <c r="M893" s="9"/>
      <c r="N893" s="9"/>
      <c r="O893" s="9"/>
      <c r="P893" s="9"/>
      <c r="Q893" s="9"/>
      <c r="R893" s="9"/>
      <c r="S893" s="9"/>
      <c r="T893" s="9"/>
      <c r="U893" s="9"/>
      <c r="V893" s="9"/>
      <c r="W893" s="9"/>
      <c r="X893" s="9"/>
      <c r="Y893" s="9"/>
      <c r="Z893" s="9"/>
      <c r="AA893" s="9"/>
    </row>
    <row r="894" spans="1:27">
      <c r="A894" s="9"/>
      <c r="B894" s="9"/>
      <c r="C894" s="5"/>
      <c r="D894" s="5"/>
      <c r="E894" s="5"/>
      <c r="F894" s="9"/>
      <c r="G894" s="9"/>
      <c r="H894" s="9"/>
      <c r="I894" s="9"/>
      <c r="J894" s="9"/>
      <c r="K894" s="9"/>
      <c r="L894" s="9"/>
      <c r="M894" s="9"/>
      <c r="N894" s="9"/>
      <c r="O894" s="9"/>
      <c r="P894" s="9"/>
      <c r="Q894" s="9"/>
      <c r="R894" s="9"/>
      <c r="S894" s="9"/>
      <c r="T894" s="9"/>
      <c r="U894" s="9"/>
      <c r="V894" s="9"/>
      <c r="W894" s="9"/>
      <c r="X894" s="9"/>
      <c r="Y894" s="9"/>
      <c r="Z894" s="9"/>
      <c r="AA894" s="9"/>
    </row>
    <row r="895" spans="1:27">
      <c r="A895" s="9"/>
      <c r="B895" s="9"/>
      <c r="C895" s="5"/>
      <c r="D895" s="5"/>
      <c r="E895" s="5"/>
      <c r="F895" s="9"/>
      <c r="G895" s="9"/>
      <c r="H895" s="9"/>
      <c r="I895" s="9"/>
      <c r="J895" s="9"/>
      <c r="K895" s="9"/>
      <c r="L895" s="9"/>
      <c r="M895" s="9"/>
      <c r="N895" s="9"/>
      <c r="O895" s="9"/>
      <c r="P895" s="9"/>
      <c r="Q895" s="9"/>
      <c r="R895" s="9"/>
      <c r="S895" s="9"/>
      <c r="T895" s="9"/>
      <c r="U895" s="9"/>
      <c r="V895" s="9"/>
      <c r="W895" s="9"/>
      <c r="X895" s="9"/>
      <c r="Y895" s="9"/>
      <c r="Z895" s="9"/>
      <c r="AA895" s="9"/>
    </row>
    <row r="896" spans="1:27">
      <c r="A896" s="9"/>
      <c r="B896" s="9"/>
      <c r="C896" s="5"/>
      <c r="D896" s="5"/>
      <c r="E896" s="5"/>
      <c r="F896" s="9"/>
      <c r="G896" s="9"/>
      <c r="H896" s="9"/>
      <c r="I896" s="9"/>
      <c r="J896" s="9"/>
      <c r="K896" s="9"/>
      <c r="L896" s="9"/>
      <c r="M896" s="9"/>
      <c r="N896" s="9"/>
      <c r="O896" s="9"/>
      <c r="P896" s="9"/>
      <c r="Q896" s="9"/>
      <c r="R896" s="9"/>
      <c r="S896" s="9"/>
      <c r="T896" s="9"/>
      <c r="U896" s="9"/>
      <c r="V896" s="9"/>
      <c r="W896" s="9"/>
      <c r="X896" s="9"/>
      <c r="Y896" s="9"/>
      <c r="Z896" s="9"/>
      <c r="AA896" s="9"/>
    </row>
    <row r="897" spans="1:27">
      <c r="A897" s="9"/>
      <c r="B897" s="9"/>
      <c r="C897" s="5"/>
      <c r="D897" s="5"/>
      <c r="E897" s="5"/>
      <c r="F897" s="9"/>
      <c r="G897" s="9"/>
      <c r="H897" s="9"/>
      <c r="I897" s="9"/>
      <c r="J897" s="9"/>
      <c r="K897" s="9"/>
      <c r="L897" s="9"/>
      <c r="M897" s="9"/>
      <c r="N897" s="9"/>
      <c r="O897" s="9"/>
      <c r="P897" s="9"/>
      <c r="Q897" s="9"/>
      <c r="R897" s="9"/>
      <c r="S897" s="9"/>
      <c r="T897" s="9"/>
      <c r="U897" s="9"/>
      <c r="V897" s="9"/>
      <c r="W897" s="9"/>
      <c r="X897" s="9"/>
      <c r="Y897" s="9"/>
      <c r="Z897" s="9"/>
      <c r="AA897" s="9"/>
    </row>
    <row r="898" spans="1:27">
      <c r="A898" s="9"/>
      <c r="B898" s="9"/>
      <c r="C898" s="5"/>
      <c r="D898" s="5"/>
      <c r="E898" s="5"/>
      <c r="F898" s="9"/>
      <c r="G898" s="9"/>
      <c r="H898" s="9"/>
      <c r="I898" s="9"/>
      <c r="J898" s="9"/>
      <c r="K898" s="9"/>
      <c r="L898" s="9"/>
      <c r="M898" s="9"/>
      <c r="N898" s="9"/>
      <c r="O898" s="9"/>
      <c r="P898" s="9"/>
      <c r="Q898" s="9"/>
      <c r="R898" s="9"/>
      <c r="S898" s="9"/>
      <c r="T898" s="9"/>
      <c r="U898" s="9"/>
      <c r="V898" s="9"/>
      <c r="W898" s="9"/>
      <c r="X898" s="9"/>
      <c r="Y898" s="9"/>
      <c r="Z898" s="9"/>
      <c r="AA898" s="9"/>
    </row>
    <row r="899" spans="1:27">
      <c r="A899" s="9"/>
      <c r="B899" s="9"/>
      <c r="C899" s="5"/>
      <c r="D899" s="5"/>
      <c r="E899" s="5"/>
      <c r="F899" s="9"/>
      <c r="G899" s="9"/>
      <c r="H899" s="9"/>
      <c r="I899" s="9"/>
      <c r="J899" s="9"/>
      <c r="K899" s="9"/>
      <c r="L899" s="9"/>
      <c r="M899" s="9"/>
      <c r="N899" s="9"/>
      <c r="O899" s="9"/>
      <c r="P899" s="9"/>
      <c r="Q899" s="9"/>
      <c r="R899" s="9"/>
      <c r="S899" s="9"/>
      <c r="T899" s="9"/>
      <c r="U899" s="9"/>
      <c r="V899" s="9"/>
      <c r="W899" s="9"/>
      <c r="X899" s="9"/>
      <c r="Y899" s="9"/>
      <c r="Z899" s="9"/>
      <c r="AA899" s="9"/>
    </row>
    <row r="900" spans="1:27">
      <c r="A900" s="9"/>
      <c r="B900" s="9"/>
      <c r="C900" s="5"/>
      <c r="D900" s="5"/>
      <c r="E900" s="5"/>
      <c r="F900" s="9"/>
      <c r="G900" s="9"/>
      <c r="H900" s="9"/>
      <c r="I900" s="9"/>
      <c r="J900" s="9"/>
      <c r="K900" s="9"/>
      <c r="L900" s="9"/>
      <c r="M900" s="9"/>
      <c r="N900" s="9"/>
      <c r="O900" s="9"/>
      <c r="P900" s="9"/>
      <c r="Q900" s="9"/>
      <c r="R900" s="9"/>
      <c r="S900" s="9"/>
      <c r="T900" s="9"/>
      <c r="U900" s="9"/>
      <c r="V900" s="9"/>
      <c r="W900" s="9"/>
      <c r="X900" s="9"/>
      <c r="Y900" s="9"/>
      <c r="Z900" s="9"/>
      <c r="AA900" s="9"/>
    </row>
    <row r="901" spans="1:27">
      <c r="A901" s="9"/>
      <c r="B901" s="9"/>
      <c r="C901" s="5"/>
      <c r="D901" s="5"/>
      <c r="E901" s="5"/>
      <c r="F901" s="9"/>
      <c r="G901" s="9"/>
      <c r="H901" s="9"/>
      <c r="I901" s="9"/>
      <c r="J901" s="9"/>
      <c r="K901" s="9"/>
      <c r="L901" s="9"/>
      <c r="M901" s="9"/>
      <c r="N901" s="9"/>
      <c r="O901" s="9"/>
      <c r="P901" s="9"/>
      <c r="Q901" s="9"/>
      <c r="R901" s="9"/>
      <c r="S901" s="9"/>
      <c r="T901" s="9"/>
      <c r="U901" s="9"/>
      <c r="V901" s="9"/>
      <c r="W901" s="9"/>
      <c r="X901" s="9"/>
      <c r="Y901" s="9"/>
      <c r="Z901" s="9"/>
      <c r="AA901" s="9"/>
    </row>
    <row r="902" spans="1:27">
      <c r="A902" s="9"/>
      <c r="B902" s="9"/>
      <c r="C902" s="5"/>
      <c r="D902" s="5"/>
      <c r="E902" s="5"/>
      <c r="F902" s="9"/>
      <c r="G902" s="9"/>
      <c r="H902" s="9"/>
      <c r="I902" s="9"/>
      <c r="J902" s="9"/>
      <c r="K902" s="9"/>
      <c r="L902" s="9"/>
      <c r="M902" s="9"/>
      <c r="N902" s="9"/>
      <c r="O902" s="9"/>
      <c r="P902" s="9"/>
      <c r="Q902" s="9"/>
      <c r="R902" s="9"/>
      <c r="S902" s="9"/>
      <c r="T902" s="9"/>
      <c r="U902" s="9"/>
      <c r="V902" s="9"/>
      <c r="W902" s="9"/>
      <c r="X902" s="9"/>
      <c r="Y902" s="9"/>
      <c r="Z902" s="9"/>
      <c r="AA902" s="9"/>
    </row>
    <row r="903" spans="1:27">
      <c r="A903" s="9"/>
      <c r="B903" s="9"/>
      <c r="C903" s="5"/>
      <c r="D903" s="5"/>
      <c r="E903" s="5"/>
      <c r="F903" s="9"/>
      <c r="G903" s="9"/>
      <c r="H903" s="9"/>
      <c r="I903" s="9"/>
      <c r="J903" s="9"/>
      <c r="K903" s="9"/>
      <c r="L903" s="9"/>
      <c r="M903" s="9"/>
      <c r="N903" s="9"/>
      <c r="O903" s="9"/>
      <c r="P903" s="9"/>
      <c r="Q903" s="9"/>
      <c r="R903" s="9"/>
      <c r="S903" s="9"/>
      <c r="T903" s="9"/>
      <c r="U903" s="9"/>
      <c r="V903" s="9"/>
      <c r="W903" s="9"/>
      <c r="X903" s="9"/>
      <c r="Y903" s="9"/>
      <c r="Z903" s="9"/>
      <c r="AA903" s="9"/>
    </row>
    <row r="904" spans="1:27">
      <c r="A904" s="9"/>
      <c r="B904" s="9"/>
      <c r="C904" s="5"/>
      <c r="D904" s="5"/>
      <c r="E904" s="5"/>
      <c r="F904" s="9"/>
      <c r="G904" s="9"/>
      <c r="H904" s="9"/>
      <c r="I904" s="9"/>
      <c r="J904" s="9"/>
      <c r="K904" s="9"/>
      <c r="L904" s="9"/>
      <c r="M904" s="9"/>
      <c r="N904" s="9"/>
      <c r="O904" s="9"/>
      <c r="P904" s="9"/>
      <c r="Q904" s="9"/>
      <c r="R904" s="9"/>
      <c r="S904" s="9"/>
      <c r="T904" s="9"/>
      <c r="U904" s="9"/>
      <c r="V904" s="9"/>
      <c r="W904" s="9"/>
      <c r="X904" s="9"/>
      <c r="Y904" s="9"/>
      <c r="Z904" s="9"/>
      <c r="AA904" s="9"/>
    </row>
    <row r="905" spans="1:27">
      <c r="A905" s="9"/>
      <c r="B905" s="9"/>
      <c r="C905" s="5"/>
      <c r="D905" s="5"/>
      <c r="E905" s="5"/>
      <c r="F905" s="9"/>
      <c r="G905" s="9"/>
      <c r="H905" s="9"/>
      <c r="I905" s="9"/>
      <c r="J905" s="9"/>
      <c r="K905" s="9"/>
      <c r="L905" s="9"/>
      <c r="M905" s="9"/>
      <c r="N905" s="9"/>
      <c r="O905" s="9"/>
      <c r="P905" s="9"/>
      <c r="Q905" s="9"/>
      <c r="R905" s="9"/>
      <c r="S905" s="9"/>
      <c r="T905" s="9"/>
      <c r="U905" s="9"/>
      <c r="V905" s="9"/>
      <c r="W905" s="9"/>
      <c r="X905" s="9"/>
      <c r="Y905" s="9"/>
      <c r="Z905" s="9"/>
      <c r="AA905" s="9"/>
    </row>
    <row r="906" spans="1:27">
      <c r="A906" s="9"/>
      <c r="B906" s="9"/>
      <c r="C906" s="5"/>
      <c r="D906" s="5"/>
      <c r="E906" s="5"/>
      <c r="F906" s="9"/>
      <c r="G906" s="9"/>
      <c r="H906" s="9"/>
      <c r="I906" s="9"/>
      <c r="J906" s="9"/>
      <c r="K906" s="9"/>
      <c r="L906" s="9"/>
      <c r="M906" s="9"/>
      <c r="N906" s="9"/>
      <c r="O906" s="9"/>
      <c r="P906" s="9"/>
      <c r="Q906" s="9"/>
      <c r="R906" s="9"/>
      <c r="S906" s="9"/>
      <c r="T906" s="9"/>
      <c r="U906" s="9"/>
      <c r="V906" s="9"/>
      <c r="W906" s="9"/>
      <c r="X906" s="9"/>
      <c r="Y906" s="9"/>
      <c r="Z906" s="9"/>
      <c r="AA906" s="9"/>
    </row>
    <row r="907" spans="1:27">
      <c r="A907" s="9"/>
      <c r="B907" s="9"/>
      <c r="C907" s="5"/>
      <c r="D907" s="5"/>
      <c r="E907" s="5"/>
      <c r="F907" s="9"/>
      <c r="G907" s="9"/>
      <c r="H907" s="9"/>
      <c r="I907" s="9"/>
      <c r="J907" s="9"/>
      <c r="K907" s="9"/>
      <c r="L907" s="9"/>
      <c r="M907" s="9"/>
      <c r="N907" s="9"/>
      <c r="O907" s="9"/>
      <c r="P907" s="9"/>
      <c r="Q907" s="9"/>
      <c r="R907" s="9"/>
      <c r="S907" s="9"/>
      <c r="T907" s="9"/>
      <c r="U907" s="9"/>
      <c r="V907" s="9"/>
      <c r="W907" s="9"/>
      <c r="X907" s="9"/>
      <c r="Y907" s="9"/>
      <c r="Z907" s="9"/>
      <c r="AA907" s="9"/>
    </row>
    <row r="908" spans="1:27">
      <c r="A908" s="9"/>
      <c r="B908" s="9"/>
      <c r="C908" s="5"/>
      <c r="D908" s="5"/>
      <c r="E908" s="5"/>
      <c r="F908" s="9"/>
      <c r="G908" s="9"/>
      <c r="H908" s="9"/>
      <c r="I908" s="9"/>
      <c r="J908" s="9"/>
      <c r="K908" s="9"/>
      <c r="L908" s="9"/>
      <c r="M908" s="9"/>
      <c r="N908" s="9"/>
      <c r="O908" s="9"/>
      <c r="P908" s="9"/>
      <c r="Q908" s="9"/>
      <c r="R908" s="9"/>
      <c r="S908" s="9"/>
      <c r="T908" s="9"/>
      <c r="U908" s="9"/>
      <c r="V908" s="9"/>
      <c r="W908" s="9"/>
      <c r="X908" s="9"/>
      <c r="Y908" s="9"/>
      <c r="Z908" s="9"/>
      <c r="AA908" s="9"/>
    </row>
    <row r="909" spans="1:27">
      <c r="A909" s="9"/>
      <c r="B909" s="9"/>
      <c r="C909" s="5"/>
      <c r="D909" s="5"/>
      <c r="E909" s="5"/>
      <c r="F909" s="9"/>
      <c r="G909" s="9"/>
      <c r="H909" s="9"/>
      <c r="I909" s="9"/>
      <c r="J909" s="9"/>
      <c r="K909" s="9"/>
      <c r="L909" s="9"/>
      <c r="M909" s="9"/>
      <c r="N909" s="9"/>
      <c r="O909" s="9"/>
      <c r="P909" s="9"/>
      <c r="Q909" s="9"/>
      <c r="R909" s="9"/>
      <c r="S909" s="9"/>
      <c r="T909" s="9"/>
      <c r="U909" s="9"/>
      <c r="V909" s="9"/>
      <c r="W909" s="9"/>
      <c r="X909" s="9"/>
      <c r="Y909" s="9"/>
      <c r="Z909" s="9"/>
      <c r="AA909" s="9"/>
    </row>
    <row r="910" spans="1:27">
      <c r="A910" s="9"/>
      <c r="B910" s="9"/>
      <c r="C910" s="5"/>
      <c r="D910" s="5"/>
      <c r="E910" s="5"/>
      <c r="F910" s="9"/>
      <c r="G910" s="9"/>
      <c r="H910" s="9"/>
      <c r="I910" s="9"/>
      <c r="J910" s="9"/>
      <c r="K910" s="9"/>
      <c r="L910" s="9"/>
      <c r="M910" s="9"/>
      <c r="N910" s="9"/>
      <c r="O910" s="9"/>
      <c r="P910" s="9"/>
      <c r="Q910" s="9"/>
      <c r="R910" s="9"/>
      <c r="S910" s="9"/>
      <c r="T910" s="9"/>
      <c r="U910" s="9"/>
      <c r="V910" s="9"/>
      <c r="W910" s="9"/>
      <c r="X910" s="9"/>
      <c r="Y910" s="9"/>
      <c r="Z910" s="9"/>
      <c r="AA910" s="9"/>
    </row>
    <row r="911" spans="1:27">
      <c r="A911" s="9"/>
      <c r="B911" s="9"/>
      <c r="C911" s="5"/>
      <c r="D911" s="5"/>
      <c r="E911" s="5"/>
      <c r="F911" s="9"/>
      <c r="G911" s="9"/>
      <c r="H911" s="9"/>
      <c r="I911" s="9"/>
      <c r="J911" s="9"/>
      <c r="K911" s="9"/>
      <c r="L911" s="9"/>
      <c r="M911" s="9"/>
      <c r="N911" s="9"/>
      <c r="O911" s="9"/>
      <c r="P911" s="9"/>
      <c r="Q911" s="9"/>
      <c r="R911" s="9"/>
      <c r="S911" s="9"/>
      <c r="T911" s="9"/>
      <c r="U911" s="9"/>
      <c r="V911" s="9"/>
      <c r="W911" s="9"/>
      <c r="X911" s="9"/>
      <c r="Y911" s="9"/>
      <c r="Z911" s="9"/>
      <c r="AA911" s="9"/>
    </row>
    <row r="912" spans="1:27">
      <c r="A912" s="9"/>
      <c r="B912" s="9"/>
      <c r="C912" s="5"/>
      <c r="D912" s="5"/>
      <c r="E912" s="5"/>
      <c r="F912" s="9"/>
      <c r="G912" s="9"/>
      <c r="H912" s="9"/>
      <c r="I912" s="9"/>
      <c r="J912" s="9"/>
      <c r="K912" s="9"/>
      <c r="L912" s="9"/>
      <c r="M912" s="9"/>
      <c r="N912" s="9"/>
      <c r="O912" s="9"/>
      <c r="P912" s="9"/>
      <c r="Q912" s="9"/>
      <c r="R912" s="9"/>
      <c r="S912" s="9"/>
      <c r="T912" s="9"/>
      <c r="U912" s="9"/>
      <c r="V912" s="9"/>
      <c r="W912" s="9"/>
      <c r="X912" s="9"/>
      <c r="Y912" s="9"/>
      <c r="Z912" s="9"/>
      <c r="AA912" s="9"/>
    </row>
    <row r="913" spans="1:27">
      <c r="A913" s="9"/>
      <c r="B913" s="9"/>
      <c r="C913" s="5"/>
      <c r="D913" s="5"/>
      <c r="E913" s="5"/>
      <c r="F913" s="9"/>
      <c r="G913" s="9"/>
      <c r="H913" s="9"/>
      <c r="I913" s="9"/>
      <c r="J913" s="9"/>
      <c r="K913" s="9"/>
      <c r="L913" s="9"/>
      <c r="M913" s="9"/>
      <c r="N913" s="9"/>
      <c r="O913" s="9"/>
      <c r="P913" s="9"/>
      <c r="Q913" s="9"/>
      <c r="R913" s="9"/>
      <c r="S913" s="9"/>
      <c r="T913" s="9"/>
      <c r="U913" s="9"/>
      <c r="V913" s="9"/>
      <c r="W913" s="9"/>
      <c r="X913" s="9"/>
      <c r="Y913" s="9"/>
      <c r="Z913" s="9"/>
      <c r="AA913" s="9"/>
    </row>
    <row r="914" spans="1:27">
      <c r="A914" s="9"/>
      <c r="B914" s="9"/>
      <c r="C914" s="5"/>
      <c r="D914" s="5"/>
      <c r="E914" s="5"/>
      <c r="F914" s="9"/>
      <c r="G914" s="9"/>
      <c r="H914" s="9"/>
      <c r="I914" s="9"/>
      <c r="J914" s="9"/>
      <c r="K914" s="9"/>
      <c r="L914" s="9"/>
      <c r="M914" s="9"/>
      <c r="N914" s="9"/>
      <c r="O914" s="9"/>
      <c r="P914" s="9"/>
      <c r="Q914" s="9"/>
      <c r="R914" s="9"/>
      <c r="S914" s="9"/>
      <c r="T914" s="9"/>
      <c r="U914" s="9"/>
      <c r="V914" s="9"/>
      <c r="W914" s="9"/>
      <c r="X914" s="9"/>
      <c r="Y914" s="9"/>
      <c r="Z914" s="9"/>
      <c r="AA914" s="9"/>
    </row>
    <row r="915" spans="1:27">
      <c r="A915" s="9"/>
      <c r="B915" s="9"/>
      <c r="C915" s="5"/>
      <c r="D915" s="5"/>
      <c r="E915" s="5"/>
      <c r="F915" s="9"/>
      <c r="G915" s="9"/>
      <c r="H915" s="9"/>
      <c r="I915" s="9"/>
      <c r="J915" s="9"/>
      <c r="K915" s="9"/>
      <c r="L915" s="9"/>
      <c r="M915" s="9"/>
      <c r="N915" s="9"/>
      <c r="O915" s="9"/>
      <c r="P915" s="9"/>
      <c r="Q915" s="9"/>
      <c r="R915" s="9"/>
      <c r="S915" s="9"/>
      <c r="T915" s="9"/>
      <c r="U915" s="9"/>
      <c r="V915" s="9"/>
      <c r="W915" s="9"/>
      <c r="X915" s="9"/>
      <c r="Y915" s="9"/>
      <c r="Z915" s="9"/>
      <c r="AA915" s="9"/>
    </row>
    <row r="916" spans="1:27">
      <c r="A916" s="9"/>
      <c r="B916" s="9"/>
      <c r="C916" s="5"/>
      <c r="D916" s="5"/>
      <c r="E916" s="5"/>
      <c r="F916" s="9"/>
      <c r="G916" s="9"/>
      <c r="H916" s="9"/>
      <c r="I916" s="9"/>
      <c r="J916" s="9"/>
      <c r="K916" s="9"/>
      <c r="L916" s="9"/>
      <c r="M916" s="9"/>
      <c r="N916" s="9"/>
      <c r="O916" s="9"/>
      <c r="P916" s="9"/>
      <c r="Q916" s="9"/>
      <c r="R916" s="9"/>
      <c r="S916" s="9"/>
      <c r="T916" s="9"/>
      <c r="U916" s="9"/>
      <c r="V916" s="9"/>
      <c r="W916" s="9"/>
      <c r="X916" s="9"/>
      <c r="Y916" s="9"/>
      <c r="Z916" s="9"/>
      <c r="AA916" s="9"/>
    </row>
    <row r="917" spans="1:27">
      <c r="A917" s="9"/>
      <c r="B917" s="9"/>
      <c r="C917" s="5"/>
      <c r="D917" s="5"/>
      <c r="E917" s="5"/>
      <c r="F917" s="9"/>
      <c r="G917" s="9"/>
      <c r="H917" s="9"/>
      <c r="I917" s="9"/>
      <c r="J917" s="9"/>
      <c r="K917" s="9"/>
      <c r="L917" s="9"/>
      <c r="M917" s="9"/>
      <c r="N917" s="9"/>
      <c r="O917" s="9"/>
      <c r="P917" s="9"/>
      <c r="Q917" s="9"/>
      <c r="R917" s="9"/>
      <c r="S917" s="9"/>
      <c r="T917" s="9"/>
      <c r="U917" s="9"/>
      <c r="V917" s="9"/>
      <c r="W917" s="9"/>
      <c r="X917" s="9"/>
      <c r="Y917" s="9"/>
      <c r="Z917" s="9"/>
      <c r="AA917" s="9"/>
    </row>
    <row r="918" spans="1:27">
      <c r="A918" s="9"/>
      <c r="B918" s="9"/>
      <c r="C918" s="5"/>
      <c r="D918" s="5"/>
      <c r="E918" s="5"/>
      <c r="F918" s="9"/>
      <c r="G918" s="9"/>
      <c r="H918" s="9"/>
      <c r="I918" s="9"/>
      <c r="J918" s="9"/>
      <c r="K918" s="9"/>
      <c r="L918" s="9"/>
      <c r="M918" s="9"/>
      <c r="N918" s="9"/>
      <c r="O918" s="9"/>
      <c r="P918" s="9"/>
      <c r="Q918" s="9"/>
      <c r="R918" s="9"/>
      <c r="S918" s="9"/>
      <c r="T918" s="9"/>
      <c r="U918" s="9"/>
      <c r="V918" s="9"/>
      <c r="W918" s="9"/>
      <c r="X918" s="9"/>
      <c r="Y918" s="9"/>
      <c r="Z918" s="9"/>
      <c r="AA918" s="9"/>
    </row>
    <row r="919" spans="1:27">
      <c r="A919" s="9"/>
      <c r="B919" s="9"/>
      <c r="C919" s="5"/>
      <c r="D919" s="5"/>
      <c r="E919" s="5"/>
      <c r="F919" s="9"/>
      <c r="G919" s="9"/>
      <c r="H919" s="9"/>
      <c r="I919" s="9"/>
      <c r="J919" s="9"/>
      <c r="K919" s="9"/>
      <c r="L919" s="9"/>
      <c r="M919" s="9"/>
      <c r="N919" s="9"/>
      <c r="O919" s="9"/>
      <c r="P919" s="9"/>
      <c r="Q919" s="9"/>
      <c r="R919" s="9"/>
      <c r="S919" s="9"/>
      <c r="T919" s="9"/>
      <c r="U919" s="9"/>
      <c r="V919" s="9"/>
      <c r="W919" s="9"/>
      <c r="X919" s="9"/>
      <c r="Y919" s="9"/>
      <c r="Z919" s="9"/>
      <c r="AA919" s="9"/>
    </row>
    <row r="920" spans="1:27">
      <c r="A920" s="9"/>
      <c r="B920" s="9"/>
      <c r="C920" s="5"/>
      <c r="D920" s="5"/>
      <c r="E920" s="5"/>
      <c r="F920" s="9"/>
      <c r="G920" s="9"/>
      <c r="H920" s="9"/>
      <c r="I920" s="9"/>
      <c r="J920" s="9"/>
      <c r="K920" s="9"/>
      <c r="L920" s="9"/>
      <c r="M920" s="9"/>
      <c r="N920" s="9"/>
      <c r="O920" s="9"/>
      <c r="P920" s="9"/>
      <c r="Q920" s="9"/>
      <c r="R920" s="9"/>
      <c r="S920" s="9"/>
      <c r="T920" s="9"/>
      <c r="U920" s="9"/>
      <c r="V920" s="9"/>
      <c r="W920" s="9"/>
      <c r="X920" s="9"/>
      <c r="Y920" s="9"/>
      <c r="Z920" s="9"/>
      <c r="AA920" s="9"/>
    </row>
    <row r="921" spans="1:27">
      <c r="A921" s="9"/>
      <c r="B921" s="9"/>
      <c r="C921" s="5"/>
      <c r="D921" s="5"/>
      <c r="E921" s="5"/>
      <c r="F921" s="9"/>
      <c r="G921" s="9"/>
      <c r="H921" s="9"/>
      <c r="I921" s="9"/>
      <c r="J921" s="9"/>
      <c r="K921" s="9"/>
      <c r="L921" s="9"/>
      <c r="M921" s="9"/>
      <c r="N921" s="9"/>
      <c r="O921" s="9"/>
      <c r="P921" s="9"/>
      <c r="Q921" s="9"/>
      <c r="R921" s="9"/>
      <c r="S921" s="9"/>
      <c r="T921" s="9"/>
      <c r="U921" s="9"/>
      <c r="V921" s="9"/>
      <c r="W921" s="9"/>
      <c r="X921" s="9"/>
      <c r="Y921" s="9"/>
      <c r="Z921" s="9"/>
      <c r="AA921" s="9"/>
    </row>
    <row r="922" spans="1:27">
      <c r="A922" s="9"/>
      <c r="B922" s="9"/>
      <c r="C922" s="5"/>
      <c r="D922" s="5"/>
      <c r="E922" s="5"/>
      <c r="F922" s="9"/>
      <c r="G922" s="9"/>
      <c r="H922" s="9"/>
      <c r="I922" s="9"/>
      <c r="J922" s="9"/>
      <c r="K922" s="9"/>
      <c r="L922" s="9"/>
      <c r="M922" s="9"/>
      <c r="N922" s="9"/>
      <c r="O922" s="9"/>
      <c r="P922" s="9"/>
      <c r="Q922" s="9"/>
      <c r="R922" s="9"/>
      <c r="S922" s="9"/>
      <c r="T922" s="9"/>
      <c r="U922" s="9"/>
      <c r="V922" s="9"/>
      <c r="W922" s="9"/>
      <c r="X922" s="9"/>
      <c r="Y922" s="9"/>
      <c r="Z922" s="9"/>
      <c r="AA922" s="9"/>
    </row>
    <row r="923" spans="1:27">
      <c r="A923" s="9"/>
      <c r="B923" s="9"/>
      <c r="C923" s="5"/>
      <c r="D923" s="5"/>
      <c r="E923" s="5"/>
      <c r="F923" s="9"/>
      <c r="G923" s="9"/>
      <c r="H923" s="9"/>
      <c r="I923" s="9"/>
      <c r="J923" s="9"/>
      <c r="K923" s="9"/>
      <c r="L923" s="9"/>
      <c r="M923" s="9"/>
      <c r="N923" s="9"/>
      <c r="O923" s="9"/>
      <c r="P923" s="9"/>
      <c r="Q923" s="9"/>
      <c r="R923" s="9"/>
      <c r="S923" s="9"/>
      <c r="T923" s="9"/>
      <c r="U923" s="9"/>
      <c r="V923" s="9"/>
      <c r="W923" s="9"/>
      <c r="X923" s="9"/>
      <c r="Y923" s="9"/>
      <c r="Z923" s="9"/>
      <c r="AA923" s="9"/>
    </row>
    <row r="924" spans="1:27">
      <c r="A924" s="9"/>
      <c r="B924" s="9"/>
      <c r="C924" s="5"/>
      <c r="D924" s="5"/>
      <c r="E924" s="5"/>
      <c r="F924" s="9"/>
      <c r="G924" s="9"/>
      <c r="H924" s="9"/>
      <c r="I924" s="9"/>
      <c r="J924" s="9"/>
      <c r="K924" s="9"/>
      <c r="L924" s="9"/>
      <c r="M924" s="9"/>
      <c r="N924" s="9"/>
      <c r="O924" s="9"/>
      <c r="P924" s="9"/>
      <c r="Q924" s="9"/>
      <c r="R924" s="9"/>
      <c r="S924" s="9"/>
      <c r="T924" s="9"/>
      <c r="U924" s="9"/>
      <c r="V924" s="9"/>
      <c r="W924" s="9"/>
      <c r="X924" s="9"/>
      <c r="Y924" s="9"/>
      <c r="Z924" s="9"/>
      <c r="AA924" s="9"/>
    </row>
    <row r="925" spans="1:27">
      <c r="A925" s="9"/>
      <c r="B925" s="9"/>
      <c r="C925" s="5"/>
      <c r="D925" s="5"/>
      <c r="E925" s="5"/>
      <c r="F925" s="9"/>
      <c r="G925" s="9"/>
      <c r="H925" s="9"/>
      <c r="I925" s="9"/>
      <c r="J925" s="9"/>
      <c r="K925" s="9"/>
      <c r="L925" s="9"/>
      <c r="M925" s="9"/>
      <c r="N925" s="9"/>
      <c r="O925" s="9"/>
      <c r="P925" s="9"/>
      <c r="Q925" s="9"/>
      <c r="R925" s="9"/>
      <c r="S925" s="9"/>
      <c r="T925" s="9"/>
      <c r="U925" s="9"/>
      <c r="V925" s="9"/>
      <c r="W925" s="9"/>
      <c r="X925" s="9"/>
      <c r="Y925" s="9"/>
      <c r="Z925" s="9"/>
      <c r="AA925" s="9"/>
    </row>
    <row r="926" spans="1:27">
      <c r="A926" s="9"/>
      <c r="B926" s="9"/>
      <c r="C926" s="5"/>
      <c r="D926" s="5"/>
      <c r="E926" s="5"/>
      <c r="F926" s="9"/>
      <c r="G926" s="9"/>
      <c r="H926" s="9"/>
      <c r="I926" s="9"/>
      <c r="J926" s="9"/>
      <c r="K926" s="9"/>
      <c r="L926" s="9"/>
      <c r="M926" s="9"/>
      <c r="N926" s="9"/>
      <c r="O926" s="9"/>
      <c r="P926" s="9"/>
      <c r="Q926" s="9"/>
      <c r="R926" s="9"/>
      <c r="S926" s="9"/>
      <c r="T926" s="9"/>
      <c r="U926" s="9"/>
      <c r="V926" s="9"/>
      <c r="W926" s="9"/>
      <c r="X926" s="9"/>
      <c r="Y926" s="9"/>
      <c r="Z926" s="9"/>
      <c r="AA926" s="9"/>
    </row>
    <row r="927" spans="1:27">
      <c r="A927" s="9"/>
      <c r="B927" s="9"/>
      <c r="C927" s="5"/>
      <c r="D927" s="5"/>
      <c r="E927" s="5"/>
      <c r="F927" s="9"/>
      <c r="G927" s="9"/>
      <c r="H927" s="9"/>
      <c r="I927" s="9"/>
      <c r="J927" s="9"/>
      <c r="K927" s="9"/>
      <c r="L927" s="9"/>
      <c r="M927" s="9"/>
      <c r="N927" s="9"/>
      <c r="O927" s="9"/>
      <c r="P927" s="9"/>
      <c r="Q927" s="9"/>
      <c r="R927" s="9"/>
      <c r="S927" s="9"/>
      <c r="T927" s="9"/>
      <c r="U927" s="9"/>
      <c r="V927" s="9"/>
      <c r="W927" s="9"/>
      <c r="X927" s="9"/>
      <c r="Y927" s="9"/>
      <c r="Z927" s="9"/>
      <c r="AA927" s="9"/>
    </row>
    <row r="928" spans="1:27">
      <c r="A928" s="9"/>
      <c r="B928" s="9"/>
      <c r="C928" s="5"/>
      <c r="D928" s="5"/>
      <c r="E928" s="5"/>
      <c r="F928" s="9"/>
      <c r="G928" s="9"/>
      <c r="H928" s="9"/>
      <c r="I928" s="9"/>
      <c r="J928" s="9"/>
      <c r="K928" s="9"/>
      <c r="L928" s="9"/>
      <c r="M928" s="9"/>
      <c r="N928" s="9"/>
      <c r="O928" s="9"/>
      <c r="P928" s="9"/>
      <c r="Q928" s="9"/>
      <c r="R928" s="9"/>
      <c r="S928" s="9"/>
      <c r="T928" s="9"/>
      <c r="U928" s="9"/>
      <c r="V928" s="9"/>
      <c r="W928" s="9"/>
      <c r="X928" s="9"/>
      <c r="Y928" s="9"/>
      <c r="Z928" s="9"/>
      <c r="AA928" s="9"/>
    </row>
    <row r="929" spans="1:27">
      <c r="A929" s="9"/>
      <c r="B929" s="9"/>
      <c r="C929" s="5"/>
      <c r="D929" s="5"/>
      <c r="E929" s="5"/>
      <c r="F929" s="9"/>
      <c r="G929" s="9"/>
      <c r="H929" s="9"/>
      <c r="I929" s="9"/>
      <c r="J929" s="9"/>
      <c r="K929" s="9"/>
      <c r="L929" s="9"/>
      <c r="M929" s="9"/>
      <c r="N929" s="9"/>
      <c r="O929" s="9"/>
      <c r="P929" s="9"/>
      <c r="Q929" s="9"/>
      <c r="R929" s="9"/>
      <c r="S929" s="9"/>
      <c r="T929" s="9"/>
      <c r="U929" s="9"/>
      <c r="V929" s="9"/>
      <c r="W929" s="9"/>
      <c r="X929" s="9"/>
      <c r="Y929" s="9"/>
      <c r="Z929" s="9"/>
      <c r="AA929" s="9"/>
    </row>
    <row r="930" spans="1:27">
      <c r="A930" s="9"/>
      <c r="B930" s="9"/>
      <c r="C930" s="5"/>
      <c r="D930" s="5"/>
      <c r="E930" s="5"/>
      <c r="F930" s="9"/>
      <c r="G930" s="9"/>
      <c r="H930" s="9"/>
      <c r="I930" s="9"/>
      <c r="J930" s="9"/>
      <c r="K930" s="9"/>
      <c r="L930" s="9"/>
      <c r="M930" s="9"/>
      <c r="N930" s="9"/>
      <c r="O930" s="9"/>
      <c r="P930" s="9"/>
      <c r="Q930" s="9"/>
      <c r="R930" s="9"/>
      <c r="S930" s="9"/>
      <c r="T930" s="9"/>
      <c r="U930" s="9"/>
      <c r="V930" s="9"/>
      <c r="W930" s="9"/>
      <c r="X930" s="9"/>
      <c r="Y930" s="9"/>
      <c r="Z930" s="9"/>
      <c r="AA930" s="9"/>
    </row>
    <row r="931" spans="1:27">
      <c r="A931" s="9"/>
      <c r="B931" s="9"/>
      <c r="C931" s="5"/>
      <c r="D931" s="5"/>
      <c r="E931" s="5"/>
      <c r="F931" s="9"/>
      <c r="G931" s="9"/>
      <c r="H931" s="9"/>
      <c r="I931" s="9"/>
      <c r="J931" s="9"/>
      <c r="K931" s="9"/>
      <c r="L931" s="9"/>
      <c r="M931" s="9"/>
      <c r="N931" s="9"/>
      <c r="O931" s="9"/>
      <c r="P931" s="9"/>
      <c r="Q931" s="9"/>
      <c r="R931" s="9"/>
      <c r="S931" s="9"/>
      <c r="T931" s="9"/>
      <c r="U931" s="9"/>
      <c r="V931" s="9"/>
      <c r="W931" s="9"/>
      <c r="X931" s="9"/>
      <c r="Y931" s="9"/>
      <c r="Z931" s="9"/>
      <c r="AA931" s="9"/>
    </row>
    <row r="932" spans="1:27">
      <c r="A932" s="9"/>
      <c r="B932" s="9"/>
      <c r="C932" s="5"/>
      <c r="D932" s="5"/>
      <c r="E932" s="5"/>
      <c r="F932" s="9"/>
      <c r="G932" s="9"/>
      <c r="H932" s="9"/>
      <c r="I932" s="9"/>
      <c r="J932" s="9"/>
      <c r="K932" s="9"/>
      <c r="L932" s="9"/>
      <c r="M932" s="9"/>
      <c r="N932" s="9"/>
      <c r="O932" s="9"/>
      <c r="P932" s="9"/>
      <c r="Q932" s="9"/>
      <c r="R932" s="9"/>
      <c r="S932" s="9"/>
      <c r="T932" s="9"/>
      <c r="U932" s="9"/>
      <c r="V932" s="9"/>
      <c r="W932" s="9"/>
      <c r="X932" s="9"/>
      <c r="Y932" s="9"/>
      <c r="Z932" s="9"/>
      <c r="AA932" s="9"/>
    </row>
    <row r="933" spans="1:27">
      <c r="A933" s="9"/>
      <c r="B933" s="9"/>
      <c r="C933" s="5"/>
      <c r="D933" s="5"/>
      <c r="E933" s="5"/>
      <c r="F933" s="9"/>
      <c r="G933" s="9"/>
      <c r="H933" s="9"/>
      <c r="I933" s="9"/>
      <c r="J933" s="9"/>
      <c r="K933" s="9"/>
      <c r="L933" s="9"/>
      <c r="M933" s="9"/>
      <c r="N933" s="9"/>
      <c r="O933" s="9"/>
      <c r="P933" s="9"/>
      <c r="Q933" s="9"/>
      <c r="R933" s="9"/>
      <c r="S933" s="9"/>
      <c r="T933" s="9"/>
      <c r="U933" s="9"/>
      <c r="V933" s="9"/>
      <c r="W933" s="9"/>
      <c r="X933" s="9"/>
      <c r="Y933" s="9"/>
      <c r="Z933" s="9"/>
      <c r="AA933" s="9"/>
    </row>
    <row r="934" spans="1:27">
      <c r="A934" s="9"/>
      <c r="B934" s="9"/>
      <c r="C934" s="5"/>
      <c r="D934" s="5"/>
      <c r="E934" s="5"/>
      <c r="F934" s="9"/>
      <c r="G934" s="9"/>
      <c r="H934" s="9"/>
      <c r="I934" s="9"/>
      <c r="J934" s="9"/>
      <c r="K934" s="9"/>
      <c r="L934" s="9"/>
      <c r="M934" s="9"/>
      <c r="N934" s="9"/>
      <c r="O934" s="9"/>
      <c r="P934" s="9"/>
      <c r="Q934" s="9"/>
      <c r="R934" s="9"/>
      <c r="S934" s="9"/>
      <c r="T934" s="9"/>
      <c r="U934" s="9"/>
      <c r="V934" s="9"/>
      <c r="W934" s="9"/>
      <c r="X934" s="9"/>
      <c r="Y934" s="9"/>
      <c r="Z934" s="9"/>
      <c r="AA934" s="9"/>
    </row>
    <row r="935" spans="1:27">
      <c r="A935" s="9"/>
      <c r="B935" s="9"/>
      <c r="C935" s="5"/>
      <c r="D935" s="5"/>
      <c r="E935" s="5"/>
      <c r="F935" s="9"/>
      <c r="G935" s="9"/>
      <c r="H935" s="9"/>
      <c r="I935" s="9"/>
      <c r="J935" s="9"/>
      <c r="K935" s="9"/>
      <c r="L935" s="9"/>
      <c r="M935" s="9"/>
      <c r="N935" s="9"/>
      <c r="O935" s="9"/>
      <c r="P935" s="9"/>
      <c r="Q935" s="9"/>
      <c r="R935" s="9"/>
      <c r="S935" s="9"/>
      <c r="T935" s="9"/>
      <c r="U935" s="9"/>
      <c r="V935" s="9"/>
      <c r="W935" s="9"/>
      <c r="X935" s="9"/>
      <c r="Y935" s="9"/>
      <c r="Z935" s="9"/>
      <c r="AA935" s="9"/>
    </row>
    <row r="936" spans="1:27">
      <c r="A936" s="9"/>
      <c r="B936" s="9"/>
      <c r="C936" s="5"/>
      <c r="D936" s="5"/>
      <c r="E936" s="5"/>
      <c r="F936" s="9"/>
      <c r="G936" s="9"/>
      <c r="H936" s="9"/>
      <c r="I936" s="9"/>
      <c r="J936" s="9"/>
      <c r="K936" s="9"/>
      <c r="L936" s="9"/>
      <c r="M936" s="9"/>
      <c r="N936" s="9"/>
      <c r="O936" s="9"/>
      <c r="P936" s="9"/>
      <c r="Q936" s="9"/>
      <c r="R936" s="9"/>
      <c r="S936" s="9"/>
      <c r="T936" s="9"/>
      <c r="U936" s="9"/>
      <c r="V936" s="9"/>
      <c r="W936" s="9"/>
      <c r="X936" s="9"/>
      <c r="Y936" s="9"/>
      <c r="Z936" s="9"/>
      <c r="AA936" s="9"/>
    </row>
    <row r="937" spans="1:27">
      <c r="A937" s="9"/>
      <c r="B937" s="9"/>
      <c r="C937" s="5"/>
      <c r="D937" s="5"/>
      <c r="E937" s="5"/>
      <c r="F937" s="9"/>
      <c r="G937" s="9"/>
      <c r="H937" s="9"/>
      <c r="I937" s="9"/>
      <c r="J937" s="9"/>
      <c r="K937" s="9"/>
      <c r="L937" s="9"/>
      <c r="M937" s="9"/>
      <c r="N937" s="9"/>
      <c r="O937" s="9"/>
      <c r="P937" s="9"/>
      <c r="Q937" s="9"/>
      <c r="R937" s="9"/>
      <c r="S937" s="9"/>
      <c r="T937" s="9"/>
      <c r="U937" s="9"/>
      <c r="V937" s="9"/>
      <c r="W937" s="9"/>
      <c r="X937" s="9"/>
      <c r="Y937" s="9"/>
      <c r="Z937" s="9"/>
      <c r="AA937" s="9"/>
    </row>
    <row r="938" spans="1:27">
      <c r="A938" s="9"/>
      <c r="B938" s="9"/>
      <c r="C938" s="5"/>
      <c r="D938" s="5"/>
      <c r="E938" s="5"/>
      <c r="F938" s="9"/>
      <c r="G938" s="9"/>
      <c r="H938" s="9"/>
      <c r="I938" s="9"/>
      <c r="J938" s="9"/>
      <c r="K938" s="9"/>
      <c r="L938" s="9"/>
      <c r="M938" s="9"/>
      <c r="N938" s="9"/>
      <c r="O938" s="9"/>
      <c r="P938" s="9"/>
      <c r="Q938" s="9"/>
      <c r="R938" s="9"/>
      <c r="S938" s="9"/>
      <c r="T938" s="9"/>
      <c r="U938" s="9"/>
      <c r="V938" s="9"/>
      <c r="W938" s="9"/>
      <c r="X938" s="9"/>
      <c r="Y938" s="9"/>
      <c r="Z938" s="9"/>
      <c r="AA938" s="9"/>
    </row>
    <row r="939" spans="1:27">
      <c r="A939" s="9"/>
      <c r="B939" s="9"/>
      <c r="C939" s="5"/>
      <c r="D939" s="5"/>
      <c r="E939" s="5"/>
      <c r="F939" s="9"/>
      <c r="G939" s="9"/>
      <c r="H939" s="9"/>
      <c r="I939" s="9"/>
      <c r="J939" s="9"/>
      <c r="K939" s="9"/>
      <c r="L939" s="9"/>
      <c r="M939" s="9"/>
      <c r="N939" s="9"/>
      <c r="O939" s="9"/>
      <c r="P939" s="9"/>
      <c r="Q939" s="9"/>
      <c r="R939" s="9"/>
      <c r="S939" s="9"/>
      <c r="T939" s="9"/>
      <c r="U939" s="9"/>
      <c r="V939" s="9"/>
      <c r="W939" s="9"/>
      <c r="X939" s="9"/>
      <c r="Y939" s="9"/>
      <c r="Z939" s="9"/>
      <c r="AA939" s="9"/>
    </row>
    <row r="940" spans="1:27">
      <c r="A940" s="9"/>
      <c r="B940" s="9"/>
      <c r="C940" s="5"/>
      <c r="D940" s="5"/>
      <c r="E940" s="5"/>
      <c r="F940" s="9"/>
      <c r="G940" s="9"/>
      <c r="H940" s="9"/>
      <c r="I940" s="9"/>
      <c r="J940" s="9"/>
      <c r="K940" s="9"/>
      <c r="L940" s="9"/>
      <c r="M940" s="9"/>
      <c r="N940" s="9"/>
      <c r="O940" s="9"/>
      <c r="P940" s="9"/>
      <c r="Q940" s="9"/>
      <c r="R940" s="9"/>
      <c r="S940" s="9"/>
      <c r="T940" s="9"/>
      <c r="U940" s="9"/>
      <c r="V940" s="9"/>
      <c r="W940" s="9"/>
      <c r="X940" s="9"/>
      <c r="Y940" s="9"/>
      <c r="Z940" s="9"/>
      <c r="AA940" s="9"/>
    </row>
    <row r="941" spans="1:27">
      <c r="A941" s="9"/>
      <c r="B941" s="9"/>
      <c r="C941" s="5"/>
      <c r="D941" s="5"/>
      <c r="E941" s="5"/>
      <c r="F941" s="9"/>
      <c r="G941" s="9"/>
      <c r="H941" s="9"/>
      <c r="I941" s="9"/>
      <c r="J941" s="9"/>
      <c r="K941" s="9"/>
      <c r="L941" s="9"/>
      <c r="M941" s="9"/>
      <c r="N941" s="9"/>
      <c r="O941" s="9"/>
      <c r="P941" s="9"/>
      <c r="Q941" s="9"/>
      <c r="R941" s="9"/>
      <c r="S941" s="9"/>
      <c r="T941" s="9"/>
      <c r="U941" s="9"/>
      <c r="V941" s="9"/>
      <c r="W941" s="9"/>
      <c r="X941" s="9"/>
      <c r="Y941" s="9"/>
      <c r="Z941" s="9"/>
      <c r="AA941" s="9"/>
    </row>
    <row r="942" spans="1:27">
      <c r="A942" s="9"/>
      <c r="B942" s="9"/>
      <c r="C942" s="5"/>
      <c r="D942" s="5"/>
      <c r="E942" s="5"/>
      <c r="F942" s="9"/>
      <c r="G942" s="9"/>
      <c r="H942" s="9"/>
      <c r="I942" s="9"/>
      <c r="J942" s="9"/>
      <c r="K942" s="9"/>
      <c r="L942" s="9"/>
      <c r="M942" s="9"/>
      <c r="N942" s="9"/>
      <c r="O942" s="9"/>
      <c r="P942" s="9"/>
      <c r="Q942" s="9"/>
      <c r="R942" s="9"/>
      <c r="S942" s="9"/>
      <c r="T942" s="9"/>
      <c r="U942" s="9"/>
      <c r="V942" s="9"/>
      <c r="W942" s="9"/>
      <c r="X942" s="9"/>
      <c r="Y942" s="9"/>
      <c r="Z942" s="9"/>
      <c r="AA942" s="9"/>
    </row>
    <row r="943" spans="1:27">
      <c r="A943" s="9"/>
      <c r="B943" s="9"/>
      <c r="C943" s="5"/>
      <c r="D943" s="5"/>
      <c r="E943" s="5"/>
      <c r="F943" s="9"/>
      <c r="G943" s="9"/>
      <c r="H943" s="9"/>
      <c r="I943" s="9"/>
      <c r="J943" s="9"/>
      <c r="K943" s="9"/>
      <c r="L943" s="9"/>
      <c r="M943" s="9"/>
      <c r="N943" s="9"/>
      <c r="O943" s="9"/>
      <c r="P943" s="9"/>
      <c r="Q943" s="9"/>
      <c r="R943" s="9"/>
      <c r="S943" s="9"/>
      <c r="T943" s="9"/>
      <c r="U943" s="9"/>
      <c r="V943" s="9"/>
      <c r="W943" s="9"/>
      <c r="X943" s="9"/>
      <c r="Y943" s="9"/>
      <c r="Z943" s="9"/>
      <c r="AA943" s="9"/>
    </row>
    <row r="944" spans="1:27">
      <c r="A944" s="9"/>
      <c r="B944" s="9"/>
      <c r="C944" s="5"/>
      <c r="D944" s="5"/>
      <c r="E944" s="5"/>
      <c r="F944" s="9"/>
      <c r="G944" s="9"/>
      <c r="H944" s="9"/>
      <c r="I944" s="9"/>
      <c r="J944" s="9"/>
      <c r="K944" s="9"/>
      <c r="L944" s="9"/>
      <c r="M944" s="9"/>
      <c r="N944" s="9"/>
      <c r="O944" s="9"/>
      <c r="P944" s="9"/>
      <c r="Q944" s="9"/>
      <c r="R944" s="9"/>
      <c r="S944" s="9"/>
      <c r="T944" s="9"/>
      <c r="U944" s="9"/>
      <c r="V944" s="9"/>
      <c r="W944" s="9"/>
      <c r="X944" s="9"/>
      <c r="Y944" s="9"/>
      <c r="Z944" s="9"/>
      <c r="AA944" s="9"/>
    </row>
    <row r="945" spans="1:27">
      <c r="A945" s="9"/>
      <c r="B945" s="9"/>
      <c r="C945" s="5"/>
      <c r="D945" s="5"/>
      <c r="E945" s="5"/>
      <c r="F945" s="9"/>
      <c r="G945" s="9"/>
      <c r="H945" s="9"/>
      <c r="I945" s="9"/>
      <c r="J945" s="9"/>
      <c r="K945" s="9"/>
      <c r="L945" s="9"/>
      <c r="M945" s="9"/>
      <c r="N945" s="9"/>
      <c r="O945" s="9"/>
      <c r="P945" s="9"/>
      <c r="Q945" s="9"/>
      <c r="R945" s="9"/>
      <c r="S945" s="9"/>
      <c r="T945" s="9"/>
      <c r="U945" s="9"/>
      <c r="V945" s="9"/>
      <c r="W945" s="9"/>
      <c r="X945" s="9"/>
      <c r="Y945" s="9"/>
      <c r="Z945" s="9"/>
      <c r="AA945" s="9"/>
    </row>
    <row r="946" spans="1:27">
      <c r="A946" s="9"/>
      <c r="B946" s="9"/>
      <c r="C946" s="5"/>
      <c r="D946" s="5"/>
      <c r="E946" s="5"/>
      <c r="F946" s="9"/>
      <c r="G946" s="9"/>
      <c r="H946" s="9"/>
      <c r="I946" s="9"/>
      <c r="J946" s="9"/>
      <c r="K946" s="9"/>
      <c r="L946" s="9"/>
      <c r="M946" s="9"/>
      <c r="N946" s="9"/>
      <c r="O946" s="9"/>
      <c r="P946" s="9"/>
      <c r="Q946" s="9"/>
      <c r="R946" s="9"/>
      <c r="S946" s="9"/>
      <c r="T946" s="9"/>
      <c r="U946" s="9"/>
      <c r="V946" s="9"/>
      <c r="W946" s="9"/>
      <c r="X946" s="9"/>
      <c r="Y946" s="9"/>
      <c r="Z946" s="9"/>
      <c r="AA946" s="9"/>
    </row>
    <row r="947" spans="1:27">
      <c r="A947" s="9"/>
      <c r="B947" s="9"/>
      <c r="C947" s="5"/>
      <c r="D947" s="5"/>
      <c r="E947" s="5"/>
      <c r="F947" s="9"/>
      <c r="G947" s="9"/>
      <c r="H947" s="9"/>
      <c r="I947" s="9"/>
      <c r="J947" s="9"/>
      <c r="K947" s="9"/>
      <c r="L947" s="9"/>
      <c r="M947" s="9"/>
      <c r="N947" s="9"/>
      <c r="O947" s="9"/>
      <c r="P947" s="9"/>
      <c r="Q947" s="9"/>
      <c r="R947" s="9"/>
      <c r="S947" s="9"/>
      <c r="T947" s="9"/>
      <c r="U947" s="9"/>
      <c r="V947" s="9"/>
      <c r="W947" s="9"/>
      <c r="X947" s="9"/>
      <c r="Y947" s="9"/>
      <c r="Z947" s="9"/>
      <c r="AA947" s="9"/>
    </row>
    <row r="948" spans="1:27">
      <c r="A948" s="9"/>
      <c r="B948" s="9"/>
      <c r="C948" s="5"/>
      <c r="D948" s="5"/>
      <c r="E948" s="5"/>
      <c r="F948" s="9"/>
      <c r="G948" s="9"/>
      <c r="H948" s="9"/>
      <c r="I948" s="9"/>
      <c r="J948" s="9"/>
      <c r="K948" s="9"/>
      <c r="L948" s="9"/>
      <c r="M948" s="9"/>
      <c r="N948" s="9"/>
      <c r="O948" s="9"/>
      <c r="P948" s="9"/>
      <c r="Q948" s="9"/>
      <c r="R948" s="9"/>
      <c r="S948" s="9"/>
      <c r="T948" s="9"/>
      <c r="U948" s="9"/>
      <c r="V948" s="9"/>
      <c r="W948" s="9"/>
      <c r="X948" s="9"/>
      <c r="Y948" s="9"/>
      <c r="Z948" s="9"/>
      <c r="AA948" s="9"/>
    </row>
    <row r="949" spans="1:27">
      <c r="A949" s="9"/>
      <c r="B949" s="9"/>
      <c r="C949" s="5"/>
      <c r="D949" s="5"/>
      <c r="E949" s="5"/>
      <c r="F949" s="9"/>
      <c r="G949" s="9"/>
      <c r="H949" s="9"/>
      <c r="I949" s="9"/>
      <c r="J949" s="9"/>
      <c r="K949" s="9"/>
      <c r="L949" s="9"/>
      <c r="M949" s="9"/>
      <c r="N949" s="9"/>
      <c r="O949" s="9"/>
      <c r="P949" s="9"/>
      <c r="Q949" s="9"/>
      <c r="R949" s="9"/>
      <c r="S949" s="9"/>
      <c r="T949" s="9"/>
      <c r="U949" s="9"/>
      <c r="V949" s="9"/>
      <c r="W949" s="9"/>
      <c r="X949" s="9"/>
      <c r="Y949" s="9"/>
      <c r="Z949" s="9"/>
      <c r="AA949" s="9"/>
    </row>
    <row r="950" spans="1:27">
      <c r="A950" s="9"/>
      <c r="B950" s="9"/>
      <c r="C950" s="5"/>
      <c r="D950" s="5"/>
      <c r="E950" s="5"/>
      <c r="F950" s="9"/>
      <c r="G950" s="9"/>
      <c r="H950" s="9"/>
      <c r="I950" s="9"/>
      <c r="J950" s="9"/>
      <c r="K950" s="9"/>
      <c r="L950" s="9"/>
      <c r="M950" s="9"/>
      <c r="N950" s="9"/>
      <c r="O950" s="9"/>
      <c r="P950" s="9"/>
      <c r="Q950" s="9"/>
      <c r="R950" s="9"/>
      <c r="S950" s="9"/>
      <c r="T950" s="9"/>
      <c r="U950" s="9"/>
      <c r="V950" s="9"/>
      <c r="W950" s="9"/>
      <c r="X950" s="9"/>
      <c r="Y950" s="9"/>
      <c r="Z950" s="9"/>
      <c r="AA950" s="9"/>
    </row>
    <row r="951" spans="1:27">
      <c r="A951" s="9"/>
      <c r="B951" s="9"/>
      <c r="C951" s="5"/>
      <c r="D951" s="5"/>
      <c r="E951" s="5"/>
      <c r="F951" s="9"/>
      <c r="G951" s="9"/>
      <c r="H951" s="9"/>
      <c r="I951" s="9"/>
      <c r="J951" s="9"/>
      <c r="K951" s="9"/>
      <c r="L951" s="9"/>
      <c r="M951" s="9"/>
      <c r="N951" s="9"/>
      <c r="O951" s="9"/>
      <c r="P951" s="9"/>
      <c r="Q951" s="9"/>
      <c r="R951" s="9"/>
      <c r="S951" s="9"/>
      <c r="T951" s="9"/>
      <c r="U951" s="9"/>
      <c r="V951" s="9"/>
      <c r="W951" s="9"/>
      <c r="X951" s="9"/>
      <c r="Y951" s="9"/>
      <c r="Z951" s="9"/>
      <c r="AA951" s="9"/>
    </row>
    <row r="952" spans="1:27">
      <c r="A952" s="9"/>
      <c r="B952" s="9"/>
      <c r="C952" s="5"/>
      <c r="D952" s="5"/>
      <c r="E952" s="5"/>
      <c r="F952" s="9"/>
      <c r="G952" s="9"/>
      <c r="H952" s="9"/>
      <c r="I952" s="9"/>
      <c r="J952" s="9"/>
      <c r="K952" s="9"/>
      <c r="L952" s="9"/>
      <c r="M952" s="9"/>
      <c r="N952" s="9"/>
      <c r="O952" s="9"/>
      <c r="P952" s="9"/>
      <c r="Q952" s="9"/>
      <c r="R952" s="9"/>
      <c r="S952" s="9"/>
      <c r="T952" s="9"/>
      <c r="U952" s="9"/>
      <c r="V952" s="9"/>
      <c r="W952" s="9"/>
      <c r="X952" s="9"/>
      <c r="Y952" s="9"/>
      <c r="Z952" s="9"/>
      <c r="AA952" s="9"/>
    </row>
    <row r="953" spans="1:27">
      <c r="A953" s="9"/>
      <c r="B953" s="9"/>
      <c r="C953" s="5"/>
      <c r="D953" s="5"/>
      <c r="E953" s="5"/>
      <c r="F953" s="9"/>
      <c r="G953" s="9"/>
      <c r="H953" s="9"/>
      <c r="I953" s="9"/>
      <c r="J953" s="9"/>
      <c r="K953" s="9"/>
      <c r="L953" s="9"/>
      <c r="M953" s="9"/>
      <c r="N953" s="9"/>
      <c r="O953" s="9"/>
      <c r="P953" s="9"/>
      <c r="Q953" s="9"/>
      <c r="R953" s="9"/>
      <c r="S953" s="9"/>
      <c r="T953" s="9"/>
      <c r="U953" s="9"/>
      <c r="V953" s="9"/>
      <c r="W953" s="9"/>
      <c r="X953" s="9"/>
      <c r="Y953" s="9"/>
      <c r="Z953" s="9"/>
      <c r="AA953" s="9"/>
    </row>
    <row r="954" spans="1:27">
      <c r="A954" s="9"/>
      <c r="B954" s="9"/>
      <c r="C954" s="5"/>
      <c r="D954" s="5"/>
      <c r="E954" s="5"/>
      <c r="F954" s="9"/>
      <c r="G954" s="9"/>
      <c r="H954" s="9"/>
      <c r="I954" s="9"/>
      <c r="J954" s="9"/>
      <c r="K954" s="9"/>
      <c r="L954" s="9"/>
      <c r="M954" s="9"/>
      <c r="N954" s="9"/>
      <c r="O954" s="9"/>
      <c r="P954" s="9"/>
      <c r="Q954" s="9"/>
      <c r="R954" s="9"/>
      <c r="S954" s="9"/>
      <c r="T954" s="9"/>
      <c r="U954" s="9"/>
      <c r="V954" s="9"/>
      <c r="W954" s="9"/>
      <c r="X954" s="9"/>
      <c r="Y954" s="9"/>
      <c r="Z954" s="9"/>
      <c r="AA954" s="9"/>
    </row>
    <row r="955" spans="1:27">
      <c r="A955" s="9"/>
      <c r="B955" s="9"/>
      <c r="C955" s="5"/>
      <c r="D955" s="5"/>
      <c r="E955" s="5"/>
      <c r="F955" s="9"/>
      <c r="G955" s="9"/>
      <c r="H955" s="9"/>
      <c r="I955" s="9"/>
      <c r="J955" s="9"/>
      <c r="K955" s="9"/>
      <c r="L955" s="9"/>
      <c r="M955" s="9"/>
      <c r="N955" s="9"/>
      <c r="O955" s="9"/>
      <c r="P955" s="9"/>
      <c r="Q955" s="9"/>
      <c r="R955" s="9"/>
      <c r="S955" s="9"/>
      <c r="T955" s="9"/>
      <c r="U955" s="9"/>
      <c r="V955" s="9"/>
      <c r="W955" s="9"/>
      <c r="X955" s="9"/>
      <c r="Y955" s="9"/>
      <c r="Z955" s="9"/>
      <c r="AA955" s="9"/>
    </row>
    <row r="956" spans="1:27">
      <c r="A956" s="9"/>
      <c r="B956" s="9"/>
      <c r="C956" s="5"/>
      <c r="D956" s="5"/>
      <c r="E956" s="5"/>
      <c r="F956" s="9"/>
      <c r="G956" s="9"/>
      <c r="H956" s="9"/>
      <c r="I956" s="9"/>
      <c r="J956" s="9"/>
      <c r="K956" s="9"/>
      <c r="L956" s="9"/>
      <c r="M956" s="9"/>
      <c r="N956" s="9"/>
      <c r="O956" s="9"/>
      <c r="P956" s="9"/>
      <c r="Q956" s="9"/>
      <c r="R956" s="9"/>
      <c r="S956" s="9"/>
      <c r="T956" s="9"/>
      <c r="U956" s="9"/>
      <c r="V956" s="9"/>
      <c r="W956" s="9"/>
      <c r="X956" s="9"/>
      <c r="Y956" s="9"/>
      <c r="Z956" s="9"/>
      <c r="AA956" s="9"/>
    </row>
    <row r="957" spans="1:27">
      <c r="A957" s="9"/>
      <c r="B957" s="9"/>
      <c r="C957" s="5"/>
      <c r="D957" s="5"/>
      <c r="E957" s="5"/>
      <c r="F957" s="9"/>
      <c r="G957" s="9"/>
      <c r="H957" s="9"/>
      <c r="I957" s="9"/>
      <c r="J957" s="9"/>
      <c r="K957" s="9"/>
      <c r="L957" s="9"/>
      <c r="M957" s="9"/>
      <c r="N957" s="9"/>
      <c r="O957" s="9"/>
      <c r="P957" s="9"/>
      <c r="Q957" s="9"/>
      <c r="R957" s="9"/>
      <c r="S957" s="9"/>
      <c r="T957" s="9"/>
      <c r="U957" s="9"/>
      <c r="V957" s="9"/>
      <c r="W957" s="9"/>
      <c r="X957" s="9"/>
      <c r="Y957" s="9"/>
      <c r="Z957" s="9"/>
      <c r="AA957" s="9"/>
    </row>
    <row r="958" spans="1:27">
      <c r="A958" s="9"/>
      <c r="B958" s="9"/>
      <c r="C958" s="5"/>
      <c r="D958" s="5"/>
      <c r="E958" s="5"/>
      <c r="F958" s="9"/>
      <c r="G958" s="9"/>
      <c r="H958" s="9"/>
      <c r="I958" s="9"/>
      <c r="J958" s="9"/>
      <c r="K958" s="9"/>
      <c r="L958" s="9"/>
      <c r="M958" s="9"/>
      <c r="N958" s="9"/>
      <c r="O958" s="9"/>
      <c r="P958" s="9"/>
      <c r="Q958" s="9"/>
      <c r="R958" s="9"/>
      <c r="S958" s="9"/>
      <c r="T958" s="9"/>
      <c r="U958" s="9"/>
      <c r="V958" s="9"/>
      <c r="W958" s="9"/>
      <c r="X958" s="9"/>
      <c r="Y958" s="9"/>
      <c r="Z958" s="9"/>
      <c r="AA958" s="9"/>
    </row>
    <row r="959" spans="1:27">
      <c r="A959" s="9"/>
      <c r="B959" s="9"/>
      <c r="C959" s="5"/>
      <c r="D959" s="5"/>
      <c r="E959" s="5"/>
      <c r="F959" s="9"/>
      <c r="G959" s="9"/>
      <c r="H959" s="9"/>
      <c r="I959" s="9"/>
      <c r="J959" s="9"/>
      <c r="K959" s="9"/>
      <c r="L959" s="9"/>
      <c r="M959" s="9"/>
      <c r="N959" s="9"/>
      <c r="O959" s="9"/>
      <c r="P959" s="9"/>
      <c r="Q959" s="9"/>
      <c r="R959" s="9"/>
      <c r="S959" s="9"/>
      <c r="T959" s="9"/>
      <c r="U959" s="9"/>
      <c r="V959" s="9"/>
      <c r="W959" s="9"/>
      <c r="X959" s="9"/>
      <c r="Y959" s="9"/>
      <c r="Z959" s="9"/>
      <c r="AA959" s="9"/>
    </row>
    <row r="960" spans="1:27">
      <c r="A960" s="9"/>
      <c r="B960" s="9"/>
      <c r="C960" s="5"/>
      <c r="D960" s="5"/>
      <c r="E960" s="5"/>
      <c r="F960" s="9"/>
      <c r="G960" s="9"/>
      <c r="H960" s="9"/>
      <c r="I960" s="9"/>
      <c r="J960" s="9"/>
      <c r="K960" s="9"/>
      <c r="L960" s="9"/>
      <c r="M960" s="9"/>
      <c r="N960" s="9"/>
      <c r="O960" s="9"/>
      <c r="P960" s="9"/>
      <c r="Q960" s="9"/>
      <c r="R960" s="9"/>
      <c r="S960" s="9"/>
      <c r="T960" s="9"/>
      <c r="U960" s="9"/>
      <c r="V960" s="9"/>
      <c r="W960" s="9"/>
      <c r="X960" s="9"/>
      <c r="Y960" s="9"/>
      <c r="Z960" s="9"/>
      <c r="AA960" s="9"/>
    </row>
    <row r="961" spans="1:27">
      <c r="A961" s="9"/>
      <c r="B961" s="9"/>
      <c r="C961" s="5"/>
      <c r="D961" s="5"/>
      <c r="E961" s="5"/>
      <c r="F961" s="9"/>
      <c r="G961" s="9"/>
      <c r="H961" s="9"/>
      <c r="I961" s="9"/>
      <c r="J961" s="9"/>
      <c r="K961" s="9"/>
      <c r="L961" s="9"/>
      <c r="M961" s="9"/>
      <c r="N961" s="9"/>
      <c r="O961" s="9"/>
      <c r="P961" s="9"/>
      <c r="Q961" s="9"/>
      <c r="R961" s="9"/>
      <c r="S961" s="9"/>
      <c r="T961" s="9"/>
      <c r="U961" s="9"/>
      <c r="V961" s="9"/>
      <c r="W961" s="9"/>
      <c r="X961" s="9"/>
      <c r="Y961" s="9"/>
      <c r="Z961" s="9"/>
      <c r="AA961" s="9"/>
    </row>
    <row r="962" spans="1:27">
      <c r="A962" s="9"/>
      <c r="B962" s="9"/>
      <c r="C962" s="5"/>
      <c r="D962" s="5"/>
      <c r="E962" s="5"/>
      <c r="F962" s="9"/>
      <c r="G962" s="9"/>
      <c r="H962" s="9"/>
      <c r="I962" s="9"/>
      <c r="J962" s="9"/>
      <c r="K962" s="9"/>
      <c r="L962" s="9"/>
      <c r="M962" s="9"/>
      <c r="N962" s="9"/>
      <c r="O962" s="9"/>
      <c r="P962" s="9"/>
      <c r="Q962" s="9"/>
      <c r="R962" s="9"/>
      <c r="S962" s="9"/>
      <c r="T962" s="9"/>
      <c r="U962" s="9"/>
      <c r="V962" s="9"/>
      <c r="W962" s="9"/>
      <c r="X962" s="9"/>
      <c r="Y962" s="9"/>
      <c r="Z962" s="9"/>
      <c r="AA962" s="9"/>
    </row>
    <row r="963" spans="1:27">
      <c r="A963" s="9"/>
      <c r="B963" s="9"/>
      <c r="C963" s="5"/>
      <c r="D963" s="5"/>
      <c r="E963" s="5"/>
      <c r="F963" s="9"/>
      <c r="G963" s="9"/>
      <c r="H963" s="9"/>
      <c r="I963" s="9"/>
      <c r="J963" s="9"/>
      <c r="K963" s="9"/>
      <c r="L963" s="9"/>
      <c r="M963" s="9"/>
      <c r="N963" s="9"/>
      <c r="O963" s="9"/>
      <c r="P963" s="9"/>
      <c r="Q963" s="9"/>
      <c r="R963" s="9"/>
      <c r="S963" s="9"/>
      <c r="T963" s="9"/>
      <c r="U963" s="9"/>
      <c r="V963" s="9"/>
      <c r="W963" s="9"/>
      <c r="X963" s="9"/>
      <c r="Y963" s="9"/>
      <c r="Z963" s="9"/>
      <c r="AA963" s="9"/>
    </row>
    <row r="964" spans="1:27">
      <c r="A964" s="9"/>
      <c r="B964" s="9"/>
      <c r="C964" s="5"/>
      <c r="D964" s="5"/>
      <c r="E964" s="5"/>
      <c r="F964" s="9"/>
      <c r="G964" s="9"/>
      <c r="H964" s="9"/>
      <c r="I964" s="9"/>
      <c r="J964" s="9"/>
      <c r="K964" s="9"/>
      <c r="L964" s="9"/>
      <c r="M964" s="9"/>
      <c r="N964" s="9"/>
      <c r="O964" s="9"/>
      <c r="P964" s="9"/>
      <c r="Q964" s="9"/>
      <c r="R964" s="9"/>
      <c r="S964" s="9"/>
      <c r="T964" s="9"/>
      <c r="U964" s="9"/>
      <c r="V964" s="9"/>
      <c r="W964" s="9"/>
      <c r="X964" s="9"/>
      <c r="Y964" s="9"/>
      <c r="Z964" s="9"/>
      <c r="AA964" s="9"/>
    </row>
    <row r="965" spans="1:27">
      <c r="A965" s="9"/>
      <c r="B965" s="9"/>
      <c r="C965" s="5"/>
      <c r="D965" s="5"/>
      <c r="E965" s="5"/>
      <c r="F965" s="9"/>
      <c r="G965" s="9"/>
      <c r="H965" s="9"/>
      <c r="I965" s="9"/>
      <c r="J965" s="9"/>
      <c r="K965" s="9"/>
      <c r="L965" s="9"/>
      <c r="M965" s="9"/>
      <c r="N965" s="9"/>
      <c r="O965" s="9"/>
      <c r="P965" s="9"/>
      <c r="Q965" s="9"/>
      <c r="R965" s="9"/>
      <c r="S965" s="9"/>
      <c r="T965" s="9"/>
      <c r="U965" s="9"/>
      <c r="V965" s="9"/>
      <c r="W965" s="9"/>
      <c r="X965" s="9"/>
      <c r="Y965" s="9"/>
      <c r="Z965" s="9"/>
      <c r="AA965" s="9"/>
    </row>
    <row r="966" spans="1:27">
      <c r="A966" s="9"/>
      <c r="B966" s="9"/>
      <c r="C966" s="5"/>
      <c r="D966" s="5"/>
      <c r="E966" s="5"/>
      <c r="F966" s="9"/>
      <c r="G966" s="9"/>
      <c r="H966" s="9"/>
      <c r="I966" s="9"/>
      <c r="J966" s="9"/>
      <c r="K966" s="9"/>
      <c r="L966" s="9"/>
      <c r="M966" s="9"/>
      <c r="N966" s="9"/>
      <c r="O966" s="9"/>
      <c r="P966" s="9"/>
      <c r="Q966" s="9"/>
      <c r="R966" s="9"/>
      <c r="S966" s="9"/>
      <c r="T966" s="9"/>
      <c r="U966" s="9"/>
      <c r="V966" s="9"/>
      <c r="W966" s="9"/>
      <c r="X966" s="9"/>
      <c r="Y966" s="9"/>
      <c r="Z966" s="9"/>
      <c r="AA966" s="9"/>
    </row>
    <row r="967" spans="1:27">
      <c r="A967" s="9"/>
      <c r="B967" s="9"/>
      <c r="C967" s="5"/>
      <c r="D967" s="5"/>
      <c r="E967" s="5"/>
      <c r="F967" s="9"/>
      <c r="G967" s="9"/>
      <c r="H967" s="9"/>
      <c r="I967" s="9"/>
      <c r="J967" s="9"/>
      <c r="K967" s="9"/>
      <c r="L967" s="9"/>
      <c r="M967" s="9"/>
      <c r="N967" s="9"/>
      <c r="O967" s="9"/>
      <c r="P967" s="9"/>
      <c r="Q967" s="9"/>
      <c r="R967" s="9"/>
      <c r="S967" s="9"/>
      <c r="T967" s="9"/>
      <c r="U967" s="9"/>
      <c r="V967" s="9"/>
      <c r="W967" s="9"/>
      <c r="X967" s="9"/>
      <c r="Y967" s="9"/>
      <c r="Z967" s="9"/>
      <c r="AA967" s="9"/>
    </row>
    <row r="968" spans="1:27">
      <c r="A968" s="9"/>
      <c r="B968" s="9"/>
      <c r="C968" s="5"/>
      <c r="D968" s="5"/>
      <c r="E968" s="5"/>
      <c r="F968" s="9"/>
      <c r="G968" s="9"/>
      <c r="H968" s="9"/>
      <c r="I968" s="9"/>
      <c r="J968" s="9"/>
      <c r="K968" s="9"/>
      <c r="L968" s="9"/>
      <c r="M968" s="9"/>
      <c r="N968" s="9"/>
      <c r="O968" s="9"/>
      <c r="P968" s="9"/>
      <c r="Q968" s="9"/>
      <c r="R968" s="9"/>
      <c r="S968" s="9"/>
      <c r="T968" s="9"/>
      <c r="U968" s="9"/>
      <c r="V968" s="9"/>
      <c r="W968" s="9"/>
      <c r="X968" s="9"/>
      <c r="Y968" s="9"/>
      <c r="Z968" s="9"/>
      <c r="AA968" s="9"/>
    </row>
    <row r="969" spans="1:27">
      <c r="A969" s="9"/>
      <c r="B969" s="9"/>
      <c r="C969" s="5"/>
      <c r="D969" s="5"/>
      <c r="E969" s="5"/>
      <c r="F969" s="9"/>
      <c r="G969" s="9"/>
      <c r="H969" s="9"/>
      <c r="I969" s="9"/>
      <c r="J969" s="9"/>
      <c r="K969" s="9"/>
      <c r="L969" s="9"/>
      <c r="M969" s="9"/>
      <c r="N969" s="9"/>
      <c r="O969" s="9"/>
      <c r="P969" s="9"/>
      <c r="Q969" s="9"/>
      <c r="R969" s="9"/>
      <c r="S969" s="9"/>
      <c r="T969" s="9"/>
      <c r="U969" s="9"/>
      <c r="V969" s="9"/>
      <c r="W969" s="9"/>
      <c r="X969" s="9"/>
      <c r="Y969" s="9"/>
      <c r="Z969" s="9"/>
      <c r="AA969" s="9"/>
    </row>
    <row r="970" spans="1:27">
      <c r="A970" s="9"/>
      <c r="B970" s="9"/>
      <c r="C970" s="5"/>
      <c r="D970" s="5"/>
      <c r="E970" s="5"/>
      <c r="F970" s="9"/>
      <c r="G970" s="9"/>
      <c r="H970" s="9"/>
      <c r="I970" s="9"/>
      <c r="J970" s="9"/>
      <c r="K970" s="9"/>
      <c r="L970" s="9"/>
      <c r="M970" s="9"/>
      <c r="N970" s="9"/>
      <c r="O970" s="9"/>
      <c r="P970" s="9"/>
      <c r="Q970" s="9"/>
      <c r="R970" s="9"/>
      <c r="S970" s="9"/>
      <c r="T970" s="9"/>
      <c r="U970" s="9"/>
      <c r="V970" s="9"/>
      <c r="W970" s="9"/>
      <c r="X970" s="9"/>
      <c r="Y970" s="9"/>
      <c r="Z970" s="9"/>
      <c r="AA970" s="9"/>
    </row>
    <row r="971" spans="1:27">
      <c r="A971" s="9"/>
      <c r="B971" s="9"/>
      <c r="C971" s="5"/>
      <c r="D971" s="5"/>
      <c r="E971" s="5"/>
      <c r="F971" s="9"/>
      <c r="G971" s="9"/>
      <c r="H971" s="9"/>
      <c r="I971" s="9"/>
      <c r="J971" s="9"/>
      <c r="K971" s="9"/>
      <c r="L971" s="9"/>
      <c r="M971" s="9"/>
      <c r="N971" s="9"/>
      <c r="O971" s="9"/>
      <c r="P971" s="9"/>
      <c r="Q971" s="9"/>
      <c r="R971" s="9"/>
      <c r="S971" s="9"/>
      <c r="T971" s="9"/>
      <c r="U971" s="9"/>
      <c r="V971" s="9"/>
      <c r="W971" s="9"/>
      <c r="X971" s="9"/>
      <c r="Y971" s="9"/>
      <c r="Z971" s="9"/>
      <c r="AA971" s="9"/>
    </row>
    <row r="972" spans="1:27">
      <c r="A972" s="9"/>
      <c r="B972" s="9"/>
      <c r="C972" s="5"/>
      <c r="D972" s="5"/>
      <c r="E972" s="5"/>
      <c r="F972" s="9"/>
      <c r="G972" s="9"/>
      <c r="H972" s="9"/>
      <c r="I972" s="9"/>
      <c r="J972" s="9"/>
      <c r="K972" s="9"/>
      <c r="L972" s="9"/>
      <c r="M972" s="9"/>
      <c r="N972" s="9"/>
      <c r="O972" s="9"/>
      <c r="P972" s="9"/>
      <c r="Q972" s="9"/>
      <c r="R972" s="9"/>
      <c r="S972" s="9"/>
      <c r="T972" s="9"/>
      <c r="U972" s="9"/>
      <c r="V972" s="9"/>
      <c r="W972" s="9"/>
      <c r="X972" s="9"/>
      <c r="Y972" s="9"/>
      <c r="Z972" s="9"/>
      <c r="AA972" s="9"/>
    </row>
    <row r="973" spans="1:27">
      <c r="A973" s="9"/>
      <c r="B973" s="9"/>
      <c r="C973" s="5"/>
      <c r="D973" s="5"/>
      <c r="E973" s="5"/>
      <c r="F973" s="9"/>
      <c r="G973" s="9"/>
      <c r="H973" s="9"/>
      <c r="I973" s="9"/>
      <c r="J973" s="9"/>
      <c r="K973" s="9"/>
      <c r="L973" s="9"/>
      <c r="M973" s="9"/>
      <c r="N973" s="9"/>
      <c r="O973" s="9"/>
      <c r="P973" s="9"/>
      <c r="Q973" s="9"/>
      <c r="R973" s="9"/>
      <c r="S973" s="9"/>
      <c r="T973" s="9"/>
      <c r="U973" s="9"/>
      <c r="V973" s="9"/>
      <c r="W973" s="9"/>
      <c r="X973" s="9"/>
      <c r="Y973" s="9"/>
      <c r="Z973" s="9"/>
      <c r="AA973" s="9"/>
    </row>
    <row r="974" spans="1:27">
      <c r="A974" s="9"/>
      <c r="B974" s="9"/>
      <c r="C974" s="5"/>
      <c r="D974" s="5"/>
      <c r="E974" s="5"/>
      <c r="F974" s="9"/>
      <c r="G974" s="9"/>
      <c r="H974" s="9"/>
      <c r="I974" s="9"/>
      <c r="J974" s="9"/>
      <c r="K974" s="9"/>
      <c r="L974" s="9"/>
      <c r="M974" s="9"/>
      <c r="N974" s="9"/>
      <c r="O974" s="9"/>
      <c r="P974" s="9"/>
      <c r="Q974" s="9"/>
      <c r="R974" s="9"/>
      <c r="S974" s="9"/>
      <c r="T974" s="9"/>
      <c r="U974" s="9"/>
      <c r="V974" s="9"/>
      <c r="W974" s="9"/>
      <c r="X974" s="9"/>
      <c r="Y974" s="9"/>
      <c r="Z974" s="9"/>
      <c r="AA974" s="9"/>
    </row>
    <row r="975" spans="1:27">
      <c r="A975" s="9"/>
      <c r="B975" s="9"/>
      <c r="C975" s="5"/>
      <c r="D975" s="5"/>
      <c r="E975" s="5"/>
      <c r="F975" s="9"/>
      <c r="G975" s="9"/>
      <c r="H975" s="9"/>
      <c r="I975" s="9"/>
      <c r="J975" s="9"/>
      <c r="K975" s="9"/>
      <c r="L975" s="9"/>
      <c r="M975" s="9"/>
      <c r="N975" s="9"/>
      <c r="O975" s="9"/>
      <c r="P975" s="9"/>
      <c r="Q975" s="9"/>
      <c r="R975" s="9"/>
      <c r="S975" s="9"/>
      <c r="T975" s="9"/>
      <c r="U975" s="9"/>
      <c r="V975" s="9"/>
      <c r="W975" s="9"/>
      <c r="X975" s="9"/>
      <c r="Y975" s="9"/>
      <c r="Z975" s="9"/>
      <c r="AA975" s="9"/>
    </row>
    <row r="976" spans="1:27">
      <c r="A976" s="9"/>
      <c r="B976" s="9"/>
      <c r="C976" s="5"/>
      <c r="D976" s="5"/>
      <c r="E976" s="5"/>
      <c r="F976" s="9"/>
      <c r="G976" s="9"/>
      <c r="H976" s="9"/>
      <c r="I976" s="9"/>
      <c r="J976" s="9"/>
      <c r="K976" s="9"/>
      <c r="L976" s="9"/>
      <c r="M976" s="9"/>
      <c r="N976" s="9"/>
      <c r="O976" s="9"/>
      <c r="P976" s="9"/>
      <c r="Q976" s="9"/>
      <c r="R976" s="9"/>
      <c r="S976" s="9"/>
      <c r="T976" s="9"/>
      <c r="U976" s="9"/>
      <c r="V976" s="9"/>
      <c r="W976" s="9"/>
      <c r="X976" s="9"/>
      <c r="Y976" s="9"/>
      <c r="Z976" s="9"/>
      <c r="AA976" s="9"/>
    </row>
    <row r="977" spans="1:27">
      <c r="A977" s="9"/>
      <c r="B977" s="9"/>
      <c r="C977" s="5"/>
      <c r="D977" s="5"/>
      <c r="E977" s="5"/>
      <c r="F977" s="9"/>
      <c r="G977" s="9"/>
      <c r="H977" s="9"/>
      <c r="I977" s="9"/>
      <c r="J977" s="9"/>
      <c r="K977" s="9"/>
      <c r="L977" s="9"/>
      <c r="M977" s="9"/>
      <c r="N977" s="9"/>
      <c r="O977" s="9"/>
      <c r="P977" s="9"/>
      <c r="Q977" s="9"/>
      <c r="R977" s="9"/>
      <c r="S977" s="9"/>
      <c r="T977" s="9"/>
      <c r="U977" s="9"/>
      <c r="V977" s="9"/>
      <c r="W977" s="9"/>
      <c r="X977" s="9"/>
      <c r="Y977" s="9"/>
      <c r="Z977" s="9"/>
      <c r="AA977" s="9"/>
    </row>
    <row r="978" spans="1:27">
      <c r="A978" s="9"/>
      <c r="B978" s="9"/>
      <c r="C978" s="5"/>
      <c r="D978" s="5"/>
      <c r="E978" s="5"/>
      <c r="F978" s="9"/>
      <c r="G978" s="9"/>
      <c r="H978" s="9"/>
      <c r="I978" s="9"/>
      <c r="J978" s="9"/>
      <c r="K978" s="9"/>
      <c r="L978" s="9"/>
      <c r="M978" s="9"/>
      <c r="N978" s="9"/>
      <c r="O978" s="9"/>
      <c r="P978" s="9"/>
      <c r="Q978" s="9"/>
      <c r="R978" s="9"/>
      <c r="S978" s="9"/>
      <c r="T978" s="9"/>
      <c r="U978" s="9"/>
      <c r="V978" s="9"/>
      <c r="W978" s="9"/>
      <c r="X978" s="9"/>
      <c r="Y978" s="9"/>
      <c r="Z978" s="9"/>
      <c r="AA978" s="9"/>
    </row>
    <row r="979" spans="1:27">
      <c r="A979" s="9"/>
      <c r="B979" s="9"/>
      <c r="C979" s="5"/>
      <c r="D979" s="5"/>
      <c r="E979" s="5"/>
      <c r="F979" s="9"/>
      <c r="G979" s="9"/>
      <c r="H979" s="9"/>
      <c r="I979" s="9"/>
      <c r="J979" s="9"/>
      <c r="K979" s="9"/>
      <c r="L979" s="9"/>
      <c r="M979" s="9"/>
      <c r="N979" s="9"/>
      <c r="O979" s="9"/>
      <c r="P979" s="9"/>
      <c r="Q979" s="9"/>
      <c r="R979" s="9"/>
      <c r="S979" s="9"/>
      <c r="T979" s="9"/>
      <c r="U979" s="9"/>
      <c r="V979" s="9"/>
      <c r="W979" s="9"/>
      <c r="X979" s="9"/>
      <c r="Y979" s="9"/>
      <c r="Z979" s="9"/>
      <c r="AA979" s="9"/>
    </row>
    <row r="980" spans="1:27">
      <c r="A980" s="9"/>
      <c r="B980" s="9"/>
      <c r="C980" s="5"/>
      <c r="D980" s="5"/>
      <c r="E980" s="5"/>
      <c r="F980" s="9"/>
      <c r="G980" s="9"/>
      <c r="H980" s="9"/>
      <c r="I980" s="9"/>
      <c r="J980" s="9"/>
      <c r="K980" s="9"/>
      <c r="L980" s="9"/>
      <c r="M980" s="9"/>
      <c r="N980" s="9"/>
      <c r="O980" s="9"/>
      <c r="P980" s="9"/>
      <c r="Q980" s="9"/>
      <c r="R980" s="9"/>
      <c r="S980" s="9"/>
      <c r="T980" s="9"/>
      <c r="U980" s="9"/>
      <c r="V980" s="9"/>
      <c r="W980" s="9"/>
      <c r="X980" s="9"/>
      <c r="Y980" s="9"/>
      <c r="Z980" s="9"/>
      <c r="AA980" s="9"/>
    </row>
    <row r="981" spans="1:27">
      <c r="A981" s="9"/>
      <c r="B981" s="9"/>
      <c r="C981" s="5"/>
      <c r="D981" s="5"/>
      <c r="E981" s="5"/>
      <c r="F981" s="9"/>
      <c r="G981" s="9"/>
      <c r="H981" s="9"/>
      <c r="I981" s="9"/>
      <c r="J981" s="9"/>
      <c r="K981" s="9"/>
      <c r="L981" s="9"/>
      <c r="M981" s="9"/>
      <c r="N981" s="9"/>
      <c r="O981" s="9"/>
      <c r="P981" s="9"/>
      <c r="Q981" s="9"/>
      <c r="R981" s="9"/>
      <c r="S981" s="9"/>
      <c r="T981" s="9"/>
      <c r="U981" s="9"/>
      <c r="V981" s="9"/>
      <c r="W981" s="9"/>
      <c r="X981" s="9"/>
      <c r="Y981" s="9"/>
      <c r="Z981" s="9"/>
      <c r="AA981" s="9"/>
    </row>
    <row r="982" spans="1:27">
      <c r="A982" s="9"/>
      <c r="B982" s="9"/>
      <c r="C982" s="5"/>
      <c r="D982" s="5"/>
      <c r="E982" s="5"/>
      <c r="F982" s="9"/>
      <c r="G982" s="9"/>
      <c r="H982" s="9"/>
      <c r="I982" s="9"/>
      <c r="J982" s="9"/>
      <c r="K982" s="9"/>
      <c r="L982" s="9"/>
      <c r="M982" s="9"/>
      <c r="N982" s="9"/>
      <c r="O982" s="9"/>
      <c r="P982" s="9"/>
      <c r="Q982" s="9"/>
      <c r="R982" s="9"/>
      <c r="S982" s="9"/>
      <c r="T982" s="9"/>
      <c r="U982" s="9"/>
      <c r="V982" s="9"/>
      <c r="W982" s="9"/>
      <c r="X982" s="9"/>
      <c r="Y982" s="9"/>
      <c r="Z982" s="9"/>
      <c r="AA982" s="9"/>
    </row>
    <row r="983" spans="1:27">
      <c r="A983" s="9"/>
      <c r="B983" s="9"/>
      <c r="C983" s="5"/>
      <c r="D983" s="5"/>
      <c r="E983" s="5"/>
      <c r="F983" s="9"/>
      <c r="G983" s="9"/>
      <c r="H983" s="9"/>
      <c r="I983" s="9"/>
      <c r="J983" s="9"/>
      <c r="K983" s="9"/>
      <c r="L983" s="9"/>
      <c r="M983" s="9"/>
      <c r="N983" s="9"/>
      <c r="O983" s="9"/>
      <c r="P983" s="9"/>
      <c r="Q983" s="9"/>
      <c r="R983" s="9"/>
      <c r="S983" s="9"/>
      <c r="T983" s="9"/>
      <c r="U983" s="9"/>
      <c r="V983" s="9"/>
      <c r="W983" s="9"/>
      <c r="X983" s="9"/>
      <c r="Y983" s="9"/>
      <c r="Z983" s="9"/>
      <c r="AA983" s="9"/>
    </row>
    <row r="984" spans="1:27">
      <c r="A984" s="9"/>
      <c r="B984" s="9"/>
      <c r="C984" s="5"/>
      <c r="D984" s="5"/>
      <c r="E984" s="5"/>
      <c r="F984" s="9"/>
      <c r="G984" s="9"/>
      <c r="H984" s="9"/>
      <c r="I984" s="9"/>
      <c r="J984" s="9"/>
      <c r="K984" s="9"/>
      <c r="L984" s="9"/>
      <c r="M984" s="9"/>
      <c r="N984" s="9"/>
      <c r="O984" s="9"/>
      <c r="P984" s="9"/>
      <c r="Q984" s="9"/>
      <c r="R984" s="9"/>
      <c r="S984" s="9"/>
      <c r="T984" s="9"/>
      <c r="U984" s="9"/>
      <c r="V984" s="9"/>
      <c r="W984" s="9"/>
      <c r="X984" s="9"/>
      <c r="Y984" s="9"/>
      <c r="Z984" s="9"/>
      <c r="AA984" s="9"/>
    </row>
    <row r="985" spans="1:27">
      <c r="A985" s="9"/>
      <c r="B985" s="9"/>
      <c r="C985" s="5"/>
      <c r="D985" s="5"/>
      <c r="E985" s="5"/>
      <c r="F985" s="9"/>
      <c r="G985" s="9"/>
      <c r="H985" s="9"/>
      <c r="I985" s="9"/>
      <c r="J985" s="9"/>
      <c r="K985" s="9"/>
      <c r="L985" s="9"/>
      <c r="M985" s="9"/>
      <c r="N985" s="9"/>
      <c r="O985" s="9"/>
      <c r="P985" s="9"/>
      <c r="Q985" s="9"/>
      <c r="R985" s="9"/>
      <c r="S985" s="9"/>
      <c r="T985" s="9"/>
      <c r="U985" s="9"/>
      <c r="V985" s="9"/>
      <c r="W985" s="9"/>
      <c r="X985" s="9"/>
      <c r="Y985" s="9"/>
      <c r="Z985" s="9"/>
      <c r="AA985" s="9"/>
    </row>
    <row r="986" spans="1:27">
      <c r="A986" s="9"/>
      <c r="B986" s="9"/>
      <c r="C986" s="5"/>
      <c r="D986" s="5"/>
      <c r="E986" s="5"/>
      <c r="F986" s="9"/>
      <c r="G986" s="9"/>
      <c r="H986" s="9"/>
      <c r="I986" s="9"/>
      <c r="J986" s="9"/>
      <c r="K986" s="9"/>
      <c r="L986" s="9"/>
      <c r="M986" s="9"/>
      <c r="N986" s="9"/>
      <c r="O986" s="9"/>
      <c r="P986" s="9"/>
      <c r="Q986" s="9"/>
      <c r="R986" s="9"/>
      <c r="S986" s="9"/>
      <c r="T986" s="9"/>
      <c r="U986" s="9"/>
      <c r="V986" s="9"/>
      <c r="W986" s="9"/>
      <c r="X986" s="9"/>
      <c r="Y986" s="9"/>
      <c r="Z986" s="9"/>
      <c r="AA986" s="9"/>
    </row>
    <row r="987" spans="1:27">
      <c r="A987" s="9"/>
      <c r="B987" s="9"/>
      <c r="C987" s="5"/>
      <c r="D987" s="5"/>
      <c r="E987" s="5"/>
      <c r="F987" s="9"/>
      <c r="G987" s="9"/>
      <c r="H987" s="9"/>
      <c r="I987" s="9"/>
      <c r="J987" s="9"/>
      <c r="K987" s="9"/>
      <c r="L987" s="9"/>
      <c r="M987" s="9"/>
      <c r="N987" s="9"/>
      <c r="O987" s="9"/>
      <c r="P987" s="9"/>
      <c r="Q987" s="9"/>
      <c r="R987" s="9"/>
      <c r="S987" s="9"/>
      <c r="T987" s="9"/>
      <c r="U987" s="9"/>
      <c r="V987" s="9"/>
      <c r="W987" s="9"/>
      <c r="X987" s="9"/>
      <c r="Y987" s="9"/>
      <c r="Z987" s="9"/>
      <c r="AA987" s="9"/>
    </row>
    <row r="988" spans="1:27">
      <c r="A988" s="9"/>
      <c r="B988" s="9"/>
      <c r="C988" s="5"/>
      <c r="D988" s="5"/>
      <c r="E988" s="5"/>
      <c r="F988" s="9"/>
      <c r="G988" s="9"/>
      <c r="H988" s="9"/>
      <c r="I988" s="9"/>
      <c r="J988" s="9"/>
      <c r="K988" s="9"/>
      <c r="L988" s="9"/>
      <c r="M988" s="9"/>
      <c r="N988" s="9"/>
      <c r="O988" s="9"/>
      <c r="P988" s="9"/>
      <c r="Q988" s="9"/>
      <c r="R988" s="9"/>
      <c r="S988" s="9"/>
      <c r="T988" s="9"/>
      <c r="U988" s="9"/>
      <c r="V988" s="9"/>
      <c r="W988" s="9"/>
      <c r="X988" s="9"/>
      <c r="Y988" s="9"/>
      <c r="Z988" s="9"/>
      <c r="AA988" s="9"/>
    </row>
    <row r="989" spans="1:27">
      <c r="A989" s="9"/>
      <c r="B989" s="9"/>
      <c r="C989" s="5"/>
      <c r="D989" s="5"/>
      <c r="E989" s="5"/>
      <c r="F989" s="9"/>
      <c r="G989" s="9"/>
      <c r="H989" s="9"/>
      <c r="I989" s="9"/>
      <c r="J989" s="9"/>
      <c r="K989" s="9"/>
      <c r="L989" s="9"/>
      <c r="M989" s="9"/>
      <c r="N989" s="9"/>
      <c r="O989" s="9"/>
      <c r="P989" s="9"/>
      <c r="Q989" s="9"/>
      <c r="R989" s="9"/>
      <c r="S989" s="9"/>
      <c r="T989" s="9"/>
      <c r="U989" s="9"/>
      <c r="V989" s="9"/>
      <c r="W989" s="9"/>
      <c r="X989" s="9"/>
      <c r="Y989" s="9"/>
      <c r="Z989" s="9"/>
      <c r="AA989" s="9"/>
    </row>
    <row r="990" spans="1:27">
      <c r="A990" s="9"/>
      <c r="B990" s="9"/>
      <c r="C990" s="5"/>
      <c r="D990" s="5"/>
      <c r="E990" s="5"/>
      <c r="F990" s="9"/>
      <c r="G990" s="9"/>
      <c r="H990" s="9"/>
      <c r="I990" s="9"/>
      <c r="J990" s="9"/>
      <c r="K990" s="9"/>
      <c r="L990" s="9"/>
      <c r="M990" s="9"/>
      <c r="N990" s="9"/>
      <c r="O990" s="9"/>
      <c r="P990" s="9"/>
      <c r="Q990" s="9"/>
      <c r="R990" s="9"/>
      <c r="S990" s="9"/>
      <c r="T990" s="9"/>
      <c r="U990" s="9"/>
      <c r="V990" s="9"/>
      <c r="W990" s="9"/>
      <c r="X990" s="9"/>
      <c r="Y990" s="9"/>
      <c r="Z990" s="9"/>
      <c r="AA990" s="9"/>
    </row>
    <row r="991" spans="1:27">
      <c r="A991" s="9"/>
      <c r="B991" s="9"/>
      <c r="C991" s="5"/>
      <c r="D991" s="5"/>
      <c r="E991" s="5"/>
      <c r="F991" s="9"/>
      <c r="G991" s="9"/>
      <c r="H991" s="9"/>
      <c r="I991" s="9"/>
      <c r="J991" s="9"/>
      <c r="K991" s="9"/>
      <c r="L991" s="9"/>
      <c r="M991" s="9"/>
      <c r="N991" s="9"/>
      <c r="O991" s="9"/>
      <c r="P991" s="9"/>
      <c r="Q991" s="9"/>
      <c r="R991" s="9"/>
      <c r="S991" s="9"/>
      <c r="T991" s="9"/>
      <c r="U991" s="9"/>
      <c r="V991" s="9"/>
      <c r="W991" s="9"/>
      <c r="X991" s="9"/>
      <c r="Y991" s="9"/>
      <c r="Z991" s="9"/>
      <c r="AA991" s="9"/>
    </row>
    <row r="992" spans="1:27">
      <c r="A992" s="9"/>
      <c r="B992" s="9"/>
      <c r="C992" s="5"/>
      <c r="D992" s="5"/>
      <c r="E992" s="5"/>
      <c r="F992" s="9"/>
      <c r="G992" s="9"/>
      <c r="H992" s="9"/>
      <c r="I992" s="9"/>
      <c r="J992" s="9"/>
      <c r="K992" s="9"/>
      <c r="L992" s="9"/>
      <c r="M992" s="9"/>
      <c r="N992" s="9"/>
      <c r="O992" s="9"/>
      <c r="P992" s="9"/>
      <c r="Q992" s="9"/>
      <c r="R992" s="9"/>
      <c r="S992" s="9"/>
      <c r="T992" s="9"/>
      <c r="U992" s="9"/>
      <c r="V992" s="9"/>
      <c r="W992" s="9"/>
      <c r="X992" s="9"/>
      <c r="Y992" s="9"/>
      <c r="Z992" s="9"/>
      <c r="AA992" s="9"/>
    </row>
    <row r="993" spans="1:27">
      <c r="A993" s="9"/>
      <c r="B993" s="9"/>
      <c r="C993" s="5"/>
      <c r="D993" s="5"/>
      <c r="E993" s="5"/>
      <c r="F993" s="9"/>
      <c r="G993" s="9"/>
      <c r="H993" s="9"/>
      <c r="I993" s="9"/>
      <c r="J993" s="9"/>
      <c r="K993" s="9"/>
      <c r="L993" s="9"/>
      <c r="M993" s="9"/>
      <c r="N993" s="9"/>
      <c r="O993" s="9"/>
      <c r="P993" s="9"/>
      <c r="Q993" s="9"/>
      <c r="R993" s="9"/>
      <c r="S993" s="9"/>
      <c r="T993" s="9"/>
      <c r="U993" s="9"/>
      <c r="V993" s="9"/>
      <c r="W993" s="9"/>
      <c r="X993" s="9"/>
      <c r="Y993" s="9"/>
      <c r="Z993" s="9"/>
      <c r="AA993" s="9"/>
    </row>
    <row r="994" spans="1:27">
      <c r="A994" s="9"/>
      <c r="B994" s="9"/>
      <c r="C994" s="5"/>
      <c r="D994" s="5"/>
      <c r="E994" s="5"/>
      <c r="F994" s="9"/>
      <c r="G994" s="9"/>
      <c r="H994" s="9"/>
      <c r="I994" s="9"/>
      <c r="J994" s="9"/>
      <c r="K994" s="9"/>
      <c r="L994" s="9"/>
      <c r="M994" s="9"/>
      <c r="N994" s="9"/>
      <c r="O994" s="9"/>
      <c r="P994" s="9"/>
      <c r="Q994" s="9"/>
      <c r="R994" s="9"/>
      <c r="S994" s="9"/>
      <c r="T994" s="9"/>
      <c r="U994" s="9"/>
      <c r="V994" s="9"/>
      <c r="W994" s="9"/>
      <c r="X994" s="9"/>
      <c r="Y994" s="9"/>
      <c r="Z994" s="9"/>
      <c r="AA994" s="9"/>
    </row>
    <row r="995" spans="1:27">
      <c r="A995" s="9"/>
      <c r="B995" s="9"/>
      <c r="C995" s="5"/>
      <c r="D995" s="5"/>
      <c r="E995" s="5"/>
      <c r="F995" s="9"/>
      <c r="G995" s="9"/>
      <c r="H995" s="9"/>
      <c r="I995" s="9"/>
      <c r="J995" s="9"/>
      <c r="K995" s="9"/>
      <c r="L995" s="9"/>
      <c r="M995" s="9"/>
      <c r="N995" s="9"/>
      <c r="O995" s="9"/>
      <c r="P995" s="9"/>
      <c r="Q995" s="9"/>
      <c r="R995" s="9"/>
      <c r="S995" s="9"/>
      <c r="T995" s="9"/>
      <c r="U995" s="9"/>
      <c r="V995" s="9"/>
      <c r="W995" s="9"/>
      <c r="X995" s="9"/>
      <c r="Y995" s="9"/>
      <c r="Z995" s="9"/>
      <c r="AA995" s="9"/>
    </row>
    <row r="996" spans="1:27">
      <c r="A996" s="9"/>
      <c r="B996" s="9"/>
      <c r="C996" s="5"/>
      <c r="D996" s="5"/>
      <c r="E996" s="5"/>
      <c r="F996" s="9"/>
      <c r="G996" s="9"/>
      <c r="H996" s="9"/>
      <c r="I996" s="9"/>
      <c r="J996" s="9"/>
      <c r="K996" s="9"/>
      <c r="L996" s="9"/>
      <c r="M996" s="9"/>
      <c r="N996" s="9"/>
      <c r="O996" s="9"/>
      <c r="P996" s="9"/>
      <c r="Q996" s="9"/>
      <c r="R996" s="9"/>
      <c r="S996" s="9"/>
      <c r="T996" s="9"/>
      <c r="U996" s="9"/>
      <c r="V996" s="9"/>
      <c r="W996" s="9"/>
      <c r="X996" s="9"/>
      <c r="Y996" s="9"/>
      <c r="Z996" s="9"/>
      <c r="AA996" s="9"/>
    </row>
    <row r="997" spans="1:27">
      <c r="A997" s="9"/>
      <c r="B997" s="9"/>
      <c r="C997" s="5"/>
      <c r="D997" s="5"/>
      <c r="E997" s="5"/>
      <c r="F997" s="9"/>
      <c r="G997" s="9"/>
      <c r="H997" s="9"/>
      <c r="I997" s="9"/>
      <c r="J997" s="9"/>
      <c r="K997" s="9"/>
      <c r="L997" s="9"/>
      <c r="M997" s="9"/>
      <c r="N997" s="9"/>
      <c r="O997" s="9"/>
      <c r="P997" s="9"/>
      <c r="Q997" s="9"/>
      <c r="R997" s="9"/>
      <c r="S997" s="9"/>
      <c r="T997" s="9"/>
      <c r="U997" s="9"/>
      <c r="V997" s="9"/>
      <c r="W997" s="9"/>
      <c r="X997" s="9"/>
      <c r="Y997" s="9"/>
      <c r="Z997" s="9"/>
      <c r="AA997" s="9"/>
    </row>
    <row r="998" spans="1:27">
      <c r="A998" s="9"/>
      <c r="B998" s="9"/>
      <c r="C998" s="5"/>
      <c r="D998" s="5"/>
      <c r="E998" s="5"/>
      <c r="F998" s="9"/>
      <c r="G998" s="9"/>
      <c r="H998" s="9"/>
      <c r="I998" s="9"/>
      <c r="J998" s="9"/>
      <c r="K998" s="9"/>
      <c r="L998" s="9"/>
      <c r="M998" s="9"/>
      <c r="N998" s="9"/>
      <c r="O998" s="9"/>
      <c r="P998" s="9"/>
      <c r="Q998" s="9"/>
      <c r="R998" s="9"/>
      <c r="S998" s="9"/>
      <c r="T998" s="9"/>
      <c r="U998" s="9"/>
      <c r="V998" s="9"/>
      <c r="W998" s="9"/>
      <c r="X998" s="9"/>
      <c r="Y998" s="9"/>
      <c r="Z998" s="9"/>
      <c r="AA998" s="9"/>
    </row>
    <row r="999" spans="1:27">
      <c r="A999" s="9"/>
      <c r="B999" s="9"/>
      <c r="C999" s="5"/>
      <c r="D999" s="5"/>
      <c r="E999" s="5"/>
      <c r="F999" s="9"/>
      <c r="G999" s="9"/>
      <c r="H999" s="9"/>
      <c r="I999" s="9"/>
      <c r="J999" s="9"/>
      <c r="K999" s="9"/>
      <c r="L999" s="9"/>
      <c r="M999" s="9"/>
      <c r="N999" s="9"/>
      <c r="O999" s="9"/>
      <c r="P999" s="9"/>
      <c r="Q999" s="9"/>
      <c r="R999" s="9"/>
      <c r="S999" s="9"/>
      <c r="T999" s="9"/>
      <c r="U999" s="9"/>
      <c r="V999" s="9"/>
      <c r="W999" s="9"/>
      <c r="X999" s="9"/>
      <c r="Y999" s="9"/>
      <c r="Z999" s="9"/>
      <c r="AA999" s="9"/>
    </row>
    <row r="1000" spans="1:27">
      <c r="A1000" s="9"/>
      <c r="B1000" s="9"/>
      <c r="C1000" s="5"/>
      <c r="D1000" s="5"/>
      <c r="E1000" s="5"/>
      <c r="F1000" s="9"/>
      <c r="G1000" s="9"/>
      <c r="H1000" s="9"/>
      <c r="I1000" s="9"/>
      <c r="J1000" s="9"/>
      <c r="K1000" s="9"/>
      <c r="L1000" s="9"/>
      <c r="M1000" s="9"/>
      <c r="N1000" s="9"/>
      <c r="O1000" s="9"/>
      <c r="P1000" s="9"/>
      <c r="Q1000" s="9"/>
      <c r="R1000" s="9"/>
      <c r="S1000" s="9"/>
      <c r="T1000" s="9"/>
      <c r="U1000" s="9"/>
      <c r="V1000" s="9"/>
      <c r="W1000" s="9"/>
      <c r="X1000" s="9"/>
      <c r="Y1000" s="9"/>
      <c r="Z1000" s="9"/>
      <c r="AA1000" s="9"/>
    </row>
    <row r="1001" spans="1:27">
      <c r="A1001" s="9"/>
      <c r="B1001" s="9"/>
      <c r="C1001" s="5"/>
      <c r="D1001" s="5"/>
      <c r="E1001" s="5"/>
      <c r="F1001" s="9"/>
      <c r="G1001" s="9"/>
      <c r="H1001" s="9"/>
      <c r="I1001" s="9"/>
      <c r="J1001" s="9"/>
      <c r="K1001" s="9"/>
      <c r="L1001" s="9"/>
      <c r="M1001" s="9"/>
      <c r="N1001" s="9"/>
      <c r="O1001" s="9"/>
      <c r="P1001" s="9"/>
      <c r="Q1001" s="9"/>
      <c r="R1001" s="9"/>
      <c r="S1001" s="9"/>
      <c r="T1001" s="9"/>
      <c r="U1001" s="9"/>
      <c r="V1001" s="9"/>
      <c r="W1001" s="9"/>
      <c r="X1001" s="9"/>
      <c r="Y1001" s="9"/>
      <c r="Z1001" s="9"/>
      <c r="AA1001" s="9"/>
    </row>
    <row r="1002" spans="1:27">
      <c r="A1002" s="9"/>
      <c r="B1002" s="9"/>
      <c r="C1002" s="5"/>
      <c r="D1002" s="5"/>
      <c r="E1002" s="5"/>
      <c r="F1002" s="9"/>
      <c r="G1002" s="9"/>
      <c r="H1002" s="9"/>
      <c r="I1002" s="9"/>
      <c r="J1002" s="9"/>
      <c r="K1002" s="9"/>
      <c r="L1002" s="9"/>
      <c r="M1002" s="9"/>
      <c r="N1002" s="9"/>
      <c r="O1002" s="9"/>
      <c r="P1002" s="9"/>
      <c r="Q1002" s="9"/>
      <c r="R1002" s="9"/>
      <c r="S1002" s="9"/>
      <c r="T1002" s="9"/>
      <c r="U1002" s="9"/>
      <c r="V1002" s="9"/>
      <c r="W1002" s="9"/>
      <c r="X1002" s="9"/>
      <c r="Y1002" s="9"/>
      <c r="Z1002" s="9"/>
      <c r="AA1002" s="9"/>
    </row>
    <row r="1003" spans="1:27">
      <c r="A1003" s="9"/>
      <c r="B1003" s="9"/>
      <c r="C1003" s="5"/>
      <c r="D1003" s="5"/>
      <c r="E1003" s="5"/>
      <c r="F1003" s="9"/>
      <c r="G1003" s="9"/>
      <c r="H1003" s="9"/>
      <c r="I1003" s="9"/>
      <c r="J1003" s="9"/>
      <c r="K1003" s="9"/>
      <c r="L1003" s="9"/>
      <c r="M1003" s="9"/>
      <c r="N1003" s="9"/>
      <c r="O1003" s="9"/>
      <c r="P1003" s="9"/>
      <c r="Q1003" s="9"/>
      <c r="R1003" s="9"/>
      <c r="S1003" s="9"/>
      <c r="T1003" s="9"/>
      <c r="U1003" s="9"/>
      <c r="V1003" s="9"/>
      <c r="W1003" s="9"/>
      <c r="X1003" s="9"/>
      <c r="Y1003" s="9"/>
      <c r="Z1003" s="9"/>
      <c r="AA1003" s="9"/>
    </row>
    <row r="1004" spans="1:27">
      <c r="A1004" s="9"/>
      <c r="B1004" s="9"/>
      <c r="C1004" s="5"/>
      <c r="D1004" s="5"/>
      <c r="E1004" s="5"/>
      <c r="F1004" s="9"/>
      <c r="G1004" s="9"/>
      <c r="H1004" s="9"/>
      <c r="I1004" s="9"/>
      <c r="J1004" s="9"/>
      <c r="K1004" s="9"/>
      <c r="L1004" s="9"/>
      <c r="M1004" s="9"/>
      <c r="N1004" s="9"/>
      <c r="O1004" s="9"/>
      <c r="P1004" s="9"/>
      <c r="Q1004" s="9"/>
      <c r="R1004" s="9"/>
      <c r="S1004" s="9"/>
      <c r="T1004" s="9"/>
      <c r="U1004" s="9"/>
      <c r="V1004" s="9"/>
      <c r="W1004" s="9"/>
      <c r="X1004" s="9"/>
      <c r="Y1004" s="9"/>
      <c r="Z1004" s="9"/>
      <c r="AA1004" s="9"/>
    </row>
    <row r="1005" spans="1:27">
      <c r="A1005" s="9"/>
      <c r="B1005" s="9"/>
      <c r="C1005" s="5"/>
      <c r="D1005" s="5"/>
      <c r="E1005" s="5"/>
      <c r="F1005" s="9"/>
      <c r="G1005" s="9"/>
      <c r="H1005" s="9"/>
      <c r="I1005" s="9"/>
      <c r="J1005" s="9"/>
      <c r="K1005" s="9"/>
      <c r="L1005" s="9"/>
      <c r="M1005" s="9"/>
      <c r="N1005" s="9"/>
      <c r="O1005" s="9"/>
      <c r="P1005" s="9"/>
      <c r="Q1005" s="9"/>
      <c r="R1005" s="9"/>
      <c r="S1005" s="9"/>
      <c r="T1005" s="9"/>
      <c r="U1005" s="9"/>
      <c r="V1005" s="9"/>
      <c r="W1005" s="9"/>
      <c r="X1005" s="9"/>
      <c r="Y1005" s="9"/>
      <c r="Z1005" s="9"/>
      <c r="AA1005" s="9"/>
    </row>
    <row r="1006" spans="1:27">
      <c r="A1006" s="9"/>
      <c r="B1006" s="9"/>
      <c r="C1006" s="5"/>
      <c r="D1006" s="5"/>
      <c r="E1006" s="5"/>
      <c r="F1006" s="9"/>
      <c r="G1006" s="9"/>
      <c r="H1006" s="9"/>
      <c r="I1006" s="9"/>
      <c r="J1006" s="9"/>
      <c r="K1006" s="9"/>
      <c r="L1006" s="9"/>
      <c r="M1006" s="9"/>
      <c r="N1006" s="9"/>
      <c r="O1006" s="9"/>
      <c r="P1006" s="9"/>
      <c r="Q1006" s="9"/>
      <c r="R1006" s="9"/>
      <c r="S1006" s="9"/>
      <c r="T1006" s="9"/>
      <c r="U1006" s="9"/>
      <c r="V1006" s="9"/>
      <c r="W1006" s="9"/>
      <c r="X1006" s="9"/>
      <c r="Y1006" s="9"/>
      <c r="Z1006" s="9"/>
      <c r="AA1006" s="9"/>
    </row>
    <row r="1007" spans="1:27">
      <c r="A1007" s="9"/>
      <c r="B1007" s="9"/>
      <c r="C1007" s="5"/>
      <c r="D1007" s="5"/>
      <c r="E1007" s="5"/>
      <c r="F1007" s="9"/>
      <c r="G1007" s="9"/>
      <c r="H1007" s="9"/>
      <c r="I1007" s="9"/>
      <c r="J1007" s="9"/>
      <c r="K1007" s="9"/>
      <c r="L1007" s="9"/>
      <c r="M1007" s="9"/>
      <c r="N1007" s="9"/>
      <c r="O1007" s="9"/>
      <c r="P1007" s="9"/>
      <c r="Q1007" s="9"/>
      <c r="R1007" s="9"/>
      <c r="S1007" s="9"/>
      <c r="T1007" s="9"/>
      <c r="U1007" s="9"/>
      <c r="V1007" s="9"/>
      <c r="W1007" s="9"/>
      <c r="X1007" s="9"/>
      <c r="Y1007" s="9"/>
      <c r="Z1007" s="9"/>
      <c r="AA1007" s="9"/>
    </row>
    <row r="1008" spans="1:27">
      <c r="A1008" s="9"/>
      <c r="B1008" s="9"/>
      <c r="C1008" s="5"/>
      <c r="D1008" s="5"/>
      <c r="E1008" s="5"/>
      <c r="F1008" s="9"/>
      <c r="G1008" s="9"/>
      <c r="H1008" s="9"/>
      <c r="I1008" s="9"/>
      <c r="J1008" s="9"/>
      <c r="K1008" s="9"/>
      <c r="L1008" s="9"/>
      <c r="M1008" s="9"/>
      <c r="N1008" s="9"/>
      <c r="O1008" s="9"/>
      <c r="P1008" s="9"/>
      <c r="Q1008" s="9"/>
      <c r="R1008" s="9"/>
      <c r="S1008" s="9"/>
      <c r="T1008" s="9"/>
      <c r="U1008" s="9"/>
      <c r="V1008" s="9"/>
      <c r="W1008" s="9"/>
      <c r="X1008" s="9"/>
      <c r="Y1008" s="9"/>
      <c r="Z1008" s="9"/>
      <c r="AA1008" s="9"/>
    </row>
    <row r="1009" spans="1:27">
      <c r="A1009" s="9"/>
      <c r="B1009" s="9"/>
      <c r="C1009" s="5"/>
      <c r="D1009" s="5"/>
      <c r="E1009" s="5"/>
      <c r="F1009" s="9"/>
      <c r="G1009" s="9"/>
      <c r="H1009" s="9"/>
      <c r="I1009" s="9"/>
      <c r="J1009" s="9"/>
      <c r="K1009" s="9"/>
      <c r="L1009" s="9"/>
      <c r="M1009" s="9"/>
      <c r="N1009" s="9"/>
      <c r="O1009" s="9"/>
      <c r="P1009" s="9"/>
      <c r="Q1009" s="9"/>
      <c r="R1009" s="9"/>
      <c r="S1009" s="9"/>
      <c r="T1009" s="9"/>
      <c r="U1009" s="9"/>
      <c r="V1009" s="9"/>
      <c r="W1009" s="9"/>
      <c r="X1009" s="9"/>
      <c r="Y1009" s="9"/>
      <c r="Z1009" s="9"/>
      <c r="AA1009" s="9"/>
    </row>
    <row r="1010" spans="1:27">
      <c r="A1010" s="9"/>
      <c r="B1010" s="9"/>
      <c r="C1010" s="5"/>
      <c r="D1010" s="5"/>
      <c r="E1010" s="5"/>
      <c r="F1010" s="9"/>
      <c r="G1010" s="9"/>
      <c r="H1010" s="9"/>
      <c r="I1010" s="9"/>
      <c r="J1010" s="9"/>
      <c r="K1010" s="9"/>
      <c r="L1010" s="9"/>
      <c r="M1010" s="9"/>
      <c r="N1010" s="9"/>
      <c r="O1010" s="9"/>
      <c r="P1010" s="9"/>
      <c r="Q1010" s="9"/>
      <c r="R1010" s="9"/>
      <c r="S1010" s="9"/>
      <c r="T1010" s="9"/>
      <c r="U1010" s="9"/>
      <c r="V1010" s="9"/>
      <c r="W1010" s="9"/>
      <c r="X1010" s="9"/>
      <c r="Y1010" s="9"/>
      <c r="Z1010" s="9"/>
      <c r="AA1010" s="9"/>
    </row>
    <row r="1011" spans="1:27">
      <c r="A1011" s="9"/>
      <c r="B1011" s="9"/>
      <c r="C1011" s="5"/>
      <c r="D1011" s="5"/>
      <c r="E1011" s="5"/>
      <c r="F1011" s="9"/>
      <c r="G1011" s="9"/>
      <c r="H1011" s="9"/>
      <c r="I1011" s="9"/>
      <c r="J1011" s="9"/>
      <c r="K1011" s="9"/>
      <c r="L1011" s="9"/>
      <c r="M1011" s="9"/>
      <c r="N1011" s="9"/>
      <c r="O1011" s="9"/>
      <c r="P1011" s="9"/>
      <c r="Q1011" s="9"/>
      <c r="R1011" s="9"/>
      <c r="S1011" s="9"/>
      <c r="T1011" s="9"/>
      <c r="U1011" s="9"/>
      <c r="V1011" s="9"/>
      <c r="W1011" s="9"/>
      <c r="X1011" s="9"/>
      <c r="Y1011" s="9"/>
      <c r="Z1011" s="9"/>
      <c r="AA1011" s="9"/>
    </row>
    <row r="1012" spans="1:27">
      <c r="A1012" s="9"/>
      <c r="B1012" s="9"/>
      <c r="C1012" s="5"/>
      <c r="D1012" s="5"/>
      <c r="E1012" s="5"/>
      <c r="F1012" s="9"/>
      <c r="G1012" s="9"/>
      <c r="H1012" s="9"/>
      <c r="I1012" s="9"/>
      <c r="J1012" s="9"/>
      <c r="K1012" s="9"/>
      <c r="L1012" s="9"/>
      <c r="M1012" s="9"/>
      <c r="N1012" s="9"/>
      <c r="O1012" s="9"/>
      <c r="P1012" s="9"/>
      <c r="Q1012" s="9"/>
      <c r="R1012" s="9"/>
      <c r="S1012" s="9"/>
      <c r="T1012" s="9"/>
      <c r="U1012" s="9"/>
      <c r="V1012" s="9"/>
      <c r="W1012" s="9"/>
      <c r="X1012" s="9"/>
      <c r="Y1012" s="9"/>
      <c r="Z1012" s="9"/>
      <c r="AA1012" s="9"/>
    </row>
    <row r="1013" spans="1:27">
      <c r="A1013" s="9"/>
      <c r="B1013" s="9"/>
      <c r="C1013" s="5"/>
      <c r="D1013" s="5"/>
      <c r="E1013" s="5"/>
      <c r="F1013" s="9"/>
      <c r="G1013" s="9"/>
      <c r="H1013" s="9"/>
      <c r="I1013" s="9"/>
      <c r="J1013" s="9"/>
      <c r="K1013" s="9"/>
      <c r="L1013" s="9"/>
      <c r="M1013" s="9"/>
      <c r="N1013" s="9"/>
      <c r="O1013" s="9"/>
      <c r="P1013" s="9"/>
      <c r="Q1013" s="9"/>
      <c r="R1013" s="9"/>
      <c r="S1013" s="9"/>
      <c r="T1013" s="9"/>
      <c r="U1013" s="9"/>
      <c r="V1013" s="9"/>
      <c r="W1013" s="9"/>
      <c r="X1013" s="9"/>
      <c r="Y1013" s="9"/>
      <c r="Z1013" s="9"/>
      <c r="AA1013" s="9"/>
    </row>
    <row r="1014" spans="1:27">
      <c r="A1014" s="9"/>
      <c r="B1014" s="9"/>
      <c r="C1014" s="5"/>
      <c r="D1014" s="5"/>
      <c r="E1014" s="5"/>
      <c r="F1014" s="9"/>
      <c r="G1014" s="9"/>
      <c r="H1014" s="9"/>
      <c r="I1014" s="9"/>
      <c r="J1014" s="9"/>
      <c r="K1014" s="9"/>
      <c r="L1014" s="9"/>
      <c r="M1014" s="9"/>
      <c r="N1014" s="9"/>
      <c r="O1014" s="9"/>
      <c r="P1014" s="9"/>
      <c r="Q1014" s="9"/>
      <c r="R1014" s="9"/>
      <c r="S1014" s="9"/>
      <c r="T1014" s="9"/>
      <c r="U1014" s="9"/>
      <c r="V1014" s="9"/>
      <c r="W1014" s="9"/>
      <c r="X1014" s="9"/>
      <c r="Y1014" s="9"/>
      <c r="Z1014" s="9"/>
      <c r="AA1014" s="9"/>
    </row>
  </sheetData>
  <autoFilter ref="A2:E35">
    <sortState ref="A2:E35">
      <sortCondition ref="B2:B35"/>
    </sortState>
  </autoFilter>
  <customSheetViews>
    <customSheetView guid="{38C24D7E-0C64-4FF0-A92C-F3BA8B0AF05D}" filter="1" showAutoFilter="1">
      <pageMargins left="0" right="0" top="0" bottom="0" header="0" footer="0"/>
      <autoFilter ref="A1:E35"/>
    </customSheetView>
  </customSheetViews>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4.42578125" defaultRowHeight="15" customHeight="1"/>
  <cols>
    <col min="1" max="1" width="9.140625" customWidth="1"/>
    <col min="2" max="2" width="25.28515625" customWidth="1"/>
    <col min="3" max="3" width="11.42578125" customWidth="1"/>
    <col min="4" max="12" width="9.140625" customWidth="1"/>
  </cols>
  <sheetData>
    <row r="1" spans="1:12" ht="12.75" customHeight="1">
      <c r="A1" s="1"/>
      <c r="B1" s="121" t="s">
        <v>925</v>
      </c>
      <c r="C1" s="122"/>
      <c r="D1" s="122"/>
      <c r="E1" s="122"/>
      <c r="F1" s="122"/>
      <c r="G1" s="122"/>
      <c r="H1" s="122"/>
      <c r="I1" s="122"/>
      <c r="J1" s="122"/>
      <c r="K1" s="122"/>
      <c r="L1" s="122"/>
    </row>
    <row r="2" spans="1:12" ht="12.75" customHeight="1">
      <c r="A2" s="1"/>
      <c r="B2" s="1"/>
      <c r="C2" s="1"/>
      <c r="D2" s="1"/>
      <c r="E2" s="2"/>
      <c r="F2" s="2"/>
      <c r="G2" s="2"/>
      <c r="H2" s="2"/>
      <c r="I2" s="2"/>
      <c r="J2" s="1"/>
      <c r="K2" s="1"/>
      <c r="L2" s="1"/>
    </row>
    <row r="3" spans="1:12" ht="12.75" customHeight="1">
      <c r="A3" s="1"/>
      <c r="B3" s="4" t="s">
        <v>926</v>
      </c>
      <c r="C3" s="1"/>
      <c r="D3" s="1"/>
      <c r="E3" s="1"/>
      <c r="F3" s="1"/>
      <c r="G3" s="1"/>
      <c r="H3" s="1"/>
      <c r="I3" s="1"/>
      <c r="J3" s="1"/>
      <c r="K3" s="1"/>
      <c r="L3" s="1"/>
    </row>
    <row r="4" spans="1:12" ht="12.75" customHeight="1">
      <c r="A4" s="1"/>
      <c r="B4" s="6" t="s">
        <v>927</v>
      </c>
      <c r="C4" s="1"/>
      <c r="D4" s="1"/>
      <c r="E4" s="1"/>
      <c r="F4" s="1"/>
      <c r="G4" s="1"/>
      <c r="H4" s="1"/>
      <c r="I4" s="1"/>
      <c r="J4" s="1"/>
      <c r="K4" s="1"/>
      <c r="L4" s="1"/>
    </row>
    <row r="5" spans="1:12" ht="12.75" customHeight="1">
      <c r="A5" s="1"/>
      <c r="B5" s="7" t="s">
        <v>928</v>
      </c>
      <c r="C5" s="1"/>
      <c r="D5" s="1"/>
      <c r="E5" s="1"/>
      <c r="F5" s="1"/>
      <c r="G5" s="1"/>
      <c r="H5" s="1"/>
      <c r="I5" s="1"/>
      <c r="J5" s="1"/>
      <c r="K5" s="1"/>
      <c r="L5" s="1"/>
    </row>
    <row r="6" spans="1:12" ht="12.75" customHeight="1">
      <c r="A6" s="1"/>
      <c r="B6" s="1"/>
      <c r="C6" s="1"/>
      <c r="D6" s="1"/>
      <c r="E6" s="1"/>
      <c r="F6" s="1"/>
      <c r="G6" s="1"/>
      <c r="H6" s="1"/>
      <c r="I6" s="1"/>
      <c r="J6" s="1"/>
      <c r="K6" s="1"/>
      <c r="L6" s="1"/>
    </row>
    <row r="7" spans="1:12" ht="12.75" customHeight="1">
      <c r="A7" s="1"/>
      <c r="B7" s="1"/>
      <c r="C7" s="1"/>
      <c r="D7" s="1"/>
      <c r="E7" s="1"/>
      <c r="F7" s="1"/>
      <c r="G7" s="1"/>
      <c r="H7" s="1"/>
      <c r="I7" s="1"/>
      <c r="J7" s="1"/>
      <c r="K7" s="1"/>
      <c r="L7" s="1"/>
    </row>
    <row r="8" spans="1:12" ht="15" customHeight="1">
      <c r="A8" s="1"/>
      <c r="B8" s="4" t="s">
        <v>929</v>
      </c>
      <c r="C8" s="1"/>
      <c r="D8" s="1"/>
      <c r="E8" s="1"/>
      <c r="F8" s="1"/>
      <c r="G8" s="1"/>
      <c r="H8" s="1"/>
      <c r="I8" s="1"/>
      <c r="J8" s="1"/>
      <c r="K8" s="1"/>
      <c r="L8" s="1"/>
    </row>
    <row r="9" spans="1:12" ht="15" customHeight="1">
      <c r="A9" s="1"/>
      <c r="B9" s="6">
        <v>2015</v>
      </c>
      <c r="C9" s="1"/>
      <c r="D9" s="1"/>
      <c r="E9" s="1"/>
      <c r="F9" s="1"/>
      <c r="G9" s="1"/>
      <c r="H9" s="1"/>
      <c r="I9" s="1"/>
      <c r="J9" s="1"/>
      <c r="K9" s="1"/>
      <c r="L9" s="1"/>
    </row>
    <row r="10" spans="1:12" ht="12.75" customHeight="1">
      <c r="A10" s="1"/>
      <c r="B10" s="6">
        <v>2016</v>
      </c>
      <c r="C10" s="1"/>
      <c r="D10" s="1"/>
      <c r="E10" s="1"/>
      <c r="F10" s="1"/>
      <c r="G10" s="1"/>
      <c r="H10" s="1"/>
      <c r="I10" s="1"/>
      <c r="J10" s="1"/>
      <c r="K10" s="1"/>
      <c r="L10" s="1"/>
    </row>
    <row r="11" spans="1:12" ht="12.75" customHeight="1">
      <c r="A11" s="1"/>
      <c r="B11" s="6">
        <v>2017</v>
      </c>
      <c r="C11" s="1"/>
      <c r="D11" s="1"/>
      <c r="E11" s="1"/>
      <c r="F11" s="1"/>
      <c r="G11" s="1"/>
      <c r="H11" s="1"/>
      <c r="I11" s="1"/>
      <c r="J11" s="1"/>
      <c r="K11" s="1"/>
      <c r="L11" s="1"/>
    </row>
    <row r="12" spans="1:12" ht="12.75" customHeight="1">
      <c r="A12" s="1"/>
      <c r="B12" s="7">
        <v>2018</v>
      </c>
      <c r="C12" s="1"/>
      <c r="D12" s="1"/>
      <c r="E12" s="1"/>
      <c r="F12" s="1"/>
      <c r="G12" s="1"/>
      <c r="H12" s="1"/>
      <c r="I12" s="1"/>
      <c r="J12" s="1"/>
      <c r="K12" s="1"/>
      <c r="L12" s="1"/>
    </row>
    <row r="13" spans="1:12" ht="12.75" customHeight="1">
      <c r="A13" s="1"/>
      <c r="B13" s="1"/>
      <c r="C13" s="1"/>
      <c r="D13" s="1"/>
      <c r="E13" s="1"/>
      <c r="F13" s="1"/>
      <c r="G13" s="1"/>
      <c r="H13" s="1"/>
      <c r="I13" s="1"/>
      <c r="J13" s="1"/>
      <c r="K13" s="1"/>
      <c r="L13" s="1"/>
    </row>
    <row r="14" spans="1:12" ht="12.75" customHeight="1">
      <c r="A14" s="1"/>
      <c r="B14" s="1"/>
      <c r="C14" s="1"/>
      <c r="D14" s="1"/>
      <c r="E14" s="1"/>
      <c r="F14" s="1"/>
      <c r="G14" s="1"/>
      <c r="H14" s="1"/>
      <c r="I14" s="1"/>
      <c r="J14" s="1"/>
      <c r="K14" s="1"/>
      <c r="L14" s="1"/>
    </row>
    <row r="15" spans="1:12" ht="12.75" customHeight="1">
      <c r="A15" s="1"/>
      <c r="B15" s="11" t="s">
        <v>930</v>
      </c>
      <c r="C15" s="1"/>
      <c r="D15" s="1"/>
      <c r="E15" s="1"/>
      <c r="F15" s="1"/>
      <c r="G15" s="1"/>
      <c r="H15" s="1"/>
      <c r="I15" s="1"/>
      <c r="J15" s="1"/>
      <c r="K15" s="1"/>
      <c r="L15" s="1"/>
    </row>
    <row r="16" spans="1:12" ht="12.75" customHeight="1">
      <c r="A16" s="1"/>
      <c r="B16" s="13">
        <v>2018</v>
      </c>
      <c r="C16" s="1"/>
      <c r="D16" s="1"/>
      <c r="E16" s="1"/>
      <c r="F16" s="1"/>
      <c r="G16" s="1"/>
      <c r="H16" s="1"/>
      <c r="I16" s="1"/>
      <c r="J16" s="1"/>
      <c r="K16" s="1"/>
      <c r="L16" s="1"/>
    </row>
    <row r="17" spans="1:12" ht="12.75" customHeight="1">
      <c r="A17" s="1"/>
      <c r="B17" s="6">
        <v>2017</v>
      </c>
      <c r="C17" s="1"/>
      <c r="D17" s="1"/>
      <c r="E17" s="1"/>
      <c r="F17" s="1"/>
      <c r="G17" s="1"/>
      <c r="H17" s="1"/>
      <c r="I17" s="1"/>
      <c r="J17" s="1"/>
      <c r="K17" s="1"/>
      <c r="L17" s="1"/>
    </row>
    <row r="18" spans="1:12" ht="12.75" customHeight="1">
      <c r="A18" s="1"/>
      <c r="B18" s="6">
        <v>2016</v>
      </c>
      <c r="C18" s="1"/>
      <c r="D18" s="1"/>
      <c r="E18" s="1"/>
      <c r="F18" s="1"/>
      <c r="G18" s="1"/>
      <c r="H18" s="1"/>
      <c r="I18" s="1"/>
      <c r="J18" s="1"/>
      <c r="K18" s="1"/>
      <c r="L18" s="1"/>
    </row>
    <row r="19" spans="1:12" ht="12.75" customHeight="1">
      <c r="A19" s="1"/>
      <c r="B19" s="16" t="s">
        <v>931</v>
      </c>
      <c r="C19" s="1"/>
      <c r="D19" s="1"/>
      <c r="E19" s="1"/>
      <c r="F19" s="1"/>
      <c r="G19" s="1"/>
      <c r="H19" s="1"/>
      <c r="I19" s="1"/>
      <c r="J19" s="1"/>
      <c r="K19" s="1"/>
      <c r="L19" s="1"/>
    </row>
    <row r="20" spans="1:12" ht="12.75" customHeight="1">
      <c r="A20" s="1"/>
      <c r="B20" s="16" t="s">
        <v>932</v>
      </c>
      <c r="C20" s="1"/>
      <c r="D20" s="1"/>
      <c r="E20" s="1"/>
      <c r="F20" s="1"/>
      <c r="G20" s="1"/>
      <c r="H20" s="1"/>
      <c r="I20" s="1"/>
      <c r="J20" s="1"/>
      <c r="K20" s="1"/>
      <c r="L20" s="1"/>
    </row>
    <row r="21" spans="1:12" ht="12.75" customHeight="1">
      <c r="A21" s="1"/>
      <c r="B21" s="16" t="s">
        <v>933</v>
      </c>
      <c r="C21" s="1"/>
      <c r="D21" s="1"/>
      <c r="E21" s="1"/>
      <c r="F21" s="1"/>
      <c r="G21" s="1"/>
      <c r="H21" s="1"/>
      <c r="I21" s="1"/>
      <c r="J21" s="1"/>
      <c r="K21" s="1"/>
      <c r="L21" s="1"/>
    </row>
    <row r="22" spans="1:12" ht="12.75" customHeight="1">
      <c r="A22" s="1"/>
      <c r="B22" s="20" t="s">
        <v>934</v>
      </c>
      <c r="C22" s="1"/>
      <c r="D22" s="1"/>
      <c r="E22" s="1"/>
      <c r="F22" s="1"/>
      <c r="G22" s="1"/>
      <c r="H22" s="1"/>
      <c r="I22" s="1"/>
      <c r="J22" s="1"/>
      <c r="K22" s="1"/>
      <c r="L22" s="1"/>
    </row>
    <row r="23" spans="1:12" ht="12.75" customHeight="1">
      <c r="A23" s="1"/>
      <c r="B23" s="1"/>
      <c r="C23" s="1"/>
      <c r="D23" s="1"/>
      <c r="E23" s="1"/>
      <c r="F23" s="1"/>
      <c r="G23" s="1"/>
      <c r="H23" s="1"/>
      <c r="I23" s="1"/>
      <c r="J23" s="1"/>
      <c r="K23" s="1"/>
      <c r="L23" s="1"/>
    </row>
    <row r="24" spans="1:12" ht="12.75" customHeight="1">
      <c r="A24" s="1"/>
      <c r="B24" s="1"/>
      <c r="C24" s="1"/>
      <c r="D24" s="1"/>
      <c r="E24" s="1"/>
      <c r="F24" s="1"/>
      <c r="G24" s="1"/>
      <c r="H24" s="1"/>
      <c r="I24" s="1"/>
      <c r="J24" s="1"/>
      <c r="K24" s="1"/>
      <c r="L24" s="1"/>
    </row>
    <row r="25" spans="1:12" ht="25.5" customHeight="1">
      <c r="A25" s="1"/>
      <c r="B25" s="22" t="s">
        <v>935</v>
      </c>
      <c r="C25" s="1"/>
      <c r="D25" s="1"/>
      <c r="E25" s="1"/>
      <c r="F25" s="1"/>
      <c r="G25" s="1"/>
      <c r="H25" s="1"/>
      <c r="I25" s="1"/>
      <c r="J25" s="1"/>
      <c r="K25" s="1"/>
      <c r="L25" s="1"/>
    </row>
    <row r="26" spans="1:12" ht="12.75" customHeight="1">
      <c r="A26" s="1"/>
      <c r="B26" s="6" t="s">
        <v>936</v>
      </c>
      <c r="C26" s="1"/>
      <c r="D26" s="1"/>
      <c r="E26" s="1"/>
      <c r="F26" s="1"/>
      <c r="G26" s="1"/>
      <c r="H26" s="1"/>
      <c r="I26" s="1"/>
      <c r="J26" s="1"/>
      <c r="K26" s="1"/>
      <c r="L26" s="1"/>
    </row>
    <row r="27" spans="1:12" ht="12.75" customHeight="1">
      <c r="A27" s="1"/>
      <c r="B27" s="7" t="s">
        <v>937</v>
      </c>
      <c r="C27" s="1"/>
      <c r="D27" s="1"/>
      <c r="E27" s="1"/>
      <c r="F27" s="1"/>
      <c r="G27" s="1"/>
      <c r="H27" s="1"/>
      <c r="I27" s="1"/>
      <c r="J27" s="1"/>
      <c r="K27" s="1"/>
      <c r="L27" s="1"/>
    </row>
    <row r="28" spans="1:12" ht="12.75" customHeight="1">
      <c r="A28" s="1"/>
      <c r="B28" s="1"/>
      <c r="C28" s="1"/>
      <c r="D28" s="1"/>
      <c r="E28" s="1"/>
      <c r="F28" s="1"/>
      <c r="G28" s="1"/>
      <c r="H28" s="1"/>
      <c r="I28" s="1"/>
      <c r="J28" s="1"/>
      <c r="K28" s="1"/>
      <c r="L28" s="1"/>
    </row>
    <row r="29" spans="1:12" ht="12.75" customHeight="1">
      <c r="A29" s="1"/>
      <c r="B29" s="1"/>
      <c r="C29" s="1"/>
      <c r="D29" s="1"/>
      <c r="E29" s="1"/>
      <c r="F29" s="1"/>
      <c r="G29" s="1"/>
      <c r="H29" s="1"/>
      <c r="I29" s="1"/>
      <c r="J29" s="1"/>
      <c r="K29" s="1"/>
      <c r="L29" s="1"/>
    </row>
    <row r="30" spans="1:12" ht="12.75" customHeight="1">
      <c r="A30" s="23"/>
      <c r="B30" s="22" t="s">
        <v>938</v>
      </c>
      <c r="C30" s="23"/>
      <c r="D30" s="23"/>
      <c r="E30" s="23"/>
      <c r="F30" s="23"/>
      <c r="G30" s="23"/>
      <c r="H30" s="23"/>
      <c r="I30" s="23"/>
      <c r="J30" s="23"/>
      <c r="K30" s="23"/>
      <c r="L30" s="23"/>
    </row>
    <row r="31" spans="1:12" ht="12.75" customHeight="1">
      <c r="A31" s="1"/>
      <c r="B31" s="25" t="s">
        <v>939</v>
      </c>
      <c r="C31" s="1"/>
      <c r="D31" s="1"/>
      <c r="E31" s="1"/>
      <c r="F31" s="1"/>
      <c r="G31" s="1"/>
      <c r="H31" s="1"/>
      <c r="I31" s="1"/>
      <c r="J31" s="1"/>
      <c r="K31" s="1"/>
      <c r="L31" s="1"/>
    </row>
    <row r="32" spans="1:12" ht="12.75" customHeight="1">
      <c r="A32" s="1"/>
      <c r="B32" s="6" t="s">
        <v>940</v>
      </c>
      <c r="C32" s="1"/>
      <c r="D32" s="1"/>
      <c r="E32" s="1"/>
      <c r="F32" s="1"/>
      <c r="G32" s="1"/>
      <c r="H32" s="1"/>
      <c r="I32" s="1"/>
      <c r="J32" s="1"/>
      <c r="K32" s="1"/>
      <c r="L32" s="1"/>
    </row>
    <row r="33" spans="1:12" ht="12.75" customHeight="1">
      <c r="A33" s="1"/>
      <c r="B33" s="7" t="s">
        <v>941</v>
      </c>
      <c r="C33" s="1"/>
      <c r="D33" s="1"/>
      <c r="E33" s="1"/>
      <c r="F33" s="1"/>
      <c r="G33" s="1"/>
      <c r="H33" s="1"/>
      <c r="I33" s="1"/>
      <c r="J33" s="1"/>
      <c r="K33" s="1"/>
      <c r="L33" s="1"/>
    </row>
    <row r="34" spans="1:12" ht="12.75" customHeight="1">
      <c r="A34" s="1"/>
      <c r="B34" s="1"/>
      <c r="C34" s="1"/>
      <c r="D34" s="1"/>
      <c r="E34" s="1"/>
      <c r="F34" s="1"/>
      <c r="G34" s="1"/>
      <c r="H34" s="1"/>
      <c r="I34" s="1"/>
      <c r="J34" s="1"/>
      <c r="K34" s="1"/>
      <c r="L34" s="1"/>
    </row>
    <row r="35" spans="1:12" ht="12.75" customHeight="1">
      <c r="A35" s="1"/>
      <c r="B35" s="1"/>
      <c r="C35" s="1"/>
      <c r="D35" s="1"/>
      <c r="E35" s="1"/>
      <c r="F35" s="1"/>
      <c r="G35" s="1"/>
      <c r="H35" s="1"/>
      <c r="I35" s="1"/>
      <c r="J35" s="1"/>
      <c r="K35" s="1"/>
      <c r="L35" s="1"/>
    </row>
    <row r="36" spans="1:12" ht="12.75" customHeight="1">
      <c r="A36" s="1"/>
      <c r="B36" s="1"/>
      <c r="C36" s="1"/>
      <c r="D36" s="1"/>
      <c r="E36" s="1"/>
      <c r="F36" s="1"/>
      <c r="G36" s="1"/>
      <c r="H36" s="1"/>
      <c r="I36" s="1"/>
      <c r="J36" s="1"/>
      <c r="K36" s="1"/>
      <c r="L36" s="1"/>
    </row>
    <row r="37" spans="1:12" ht="45" customHeight="1">
      <c r="A37" s="1"/>
      <c r="B37" s="123" t="s">
        <v>942</v>
      </c>
      <c r="C37" s="117"/>
      <c r="D37" s="1"/>
      <c r="E37" s="1"/>
      <c r="F37" s="1"/>
      <c r="G37" s="1"/>
      <c r="H37" s="1"/>
      <c r="I37" s="1"/>
      <c r="J37" s="1"/>
      <c r="K37" s="1"/>
      <c r="L37" s="1"/>
    </row>
    <row r="38" spans="1:12" ht="12.75" customHeight="1">
      <c r="A38" s="1"/>
      <c r="B38" s="27" t="s">
        <v>885</v>
      </c>
      <c r="C38" s="25">
        <v>1</v>
      </c>
      <c r="D38" s="1"/>
      <c r="E38" s="1"/>
      <c r="F38" s="1"/>
      <c r="G38" s="1"/>
      <c r="H38" s="1"/>
      <c r="I38" s="1"/>
      <c r="J38" s="1"/>
      <c r="K38" s="1"/>
      <c r="L38" s="1"/>
    </row>
    <row r="39" spans="1:12" ht="12.75" customHeight="1">
      <c r="A39" s="1"/>
      <c r="B39" s="28" t="s">
        <v>943</v>
      </c>
      <c r="C39" s="7">
        <v>0</v>
      </c>
      <c r="D39" s="1"/>
      <c r="E39" s="1"/>
      <c r="F39" s="1"/>
      <c r="G39" s="1"/>
      <c r="H39" s="1"/>
      <c r="I39" s="1"/>
      <c r="J39" s="1"/>
      <c r="K39" s="1"/>
      <c r="L39" s="1"/>
    </row>
    <row r="40" spans="1:12" ht="12.75" customHeight="1">
      <c r="A40" s="1"/>
      <c r="B40" s="1"/>
      <c r="C40" s="1"/>
      <c r="D40" s="1"/>
      <c r="E40" s="1"/>
      <c r="F40" s="1"/>
      <c r="G40" s="1"/>
      <c r="H40" s="1"/>
      <c r="I40" s="1"/>
      <c r="J40" s="1"/>
      <c r="K40" s="1"/>
      <c r="L40" s="1"/>
    </row>
    <row r="41" spans="1:12" ht="12.75" customHeight="1">
      <c r="A41" s="1"/>
      <c r="B41" s="1"/>
      <c r="C41" s="1"/>
      <c r="D41" s="1"/>
      <c r="E41" s="1"/>
      <c r="F41" s="1"/>
      <c r="G41" s="1"/>
      <c r="H41" s="1"/>
      <c r="I41" s="1"/>
      <c r="J41" s="1"/>
      <c r="K41" s="1"/>
      <c r="L41" s="1"/>
    </row>
    <row r="42" spans="1:12" ht="12.75" customHeight="1">
      <c r="A42" s="1"/>
      <c r="B42" s="1"/>
      <c r="C42" s="1"/>
      <c r="D42" s="1"/>
      <c r="E42" s="1"/>
      <c r="F42" s="1"/>
      <c r="G42" s="1"/>
      <c r="H42" s="1"/>
      <c r="I42" s="1"/>
      <c r="J42" s="1"/>
      <c r="K42" s="1"/>
      <c r="L42" s="1"/>
    </row>
    <row r="43" spans="1:12" ht="12.75" customHeight="1">
      <c r="A43" s="1"/>
      <c r="B43" s="1"/>
      <c r="C43" s="1"/>
      <c r="D43" s="1"/>
      <c r="E43" s="1"/>
      <c r="F43" s="1"/>
      <c r="G43" s="1"/>
      <c r="H43" s="1"/>
      <c r="I43" s="1"/>
      <c r="J43" s="1"/>
      <c r="K43" s="1"/>
      <c r="L43" s="1"/>
    </row>
    <row r="44" spans="1:12" ht="12.75" customHeight="1">
      <c r="A44" s="1"/>
      <c r="B44" s="1"/>
      <c r="C44" s="1"/>
      <c r="D44" s="1"/>
      <c r="E44" s="1"/>
      <c r="F44" s="1"/>
      <c r="G44" s="1"/>
      <c r="H44" s="1"/>
      <c r="I44" s="1"/>
      <c r="J44" s="1"/>
      <c r="K44" s="1"/>
      <c r="L44" s="1"/>
    </row>
    <row r="45" spans="1:12" ht="12.75" customHeight="1">
      <c r="A45" s="1"/>
      <c r="B45" s="1"/>
      <c r="C45" s="1"/>
      <c r="D45" s="1"/>
      <c r="E45" s="1"/>
      <c r="F45" s="1"/>
      <c r="G45" s="1"/>
      <c r="H45" s="1"/>
      <c r="I45" s="1"/>
      <c r="J45" s="1"/>
      <c r="K45" s="1"/>
      <c r="L45" s="1"/>
    </row>
    <row r="46" spans="1:12" ht="12.75" customHeight="1">
      <c r="A46" s="1"/>
      <c r="B46" s="1"/>
      <c r="C46" s="1"/>
      <c r="D46" s="1"/>
      <c r="E46" s="1"/>
      <c r="F46" s="1"/>
      <c r="G46" s="1"/>
      <c r="H46" s="1"/>
      <c r="I46" s="1"/>
      <c r="J46" s="1"/>
      <c r="K46" s="1"/>
      <c r="L46" s="1"/>
    </row>
    <row r="47" spans="1:12" ht="12.75" customHeight="1">
      <c r="A47" s="1"/>
      <c r="B47" s="1"/>
      <c r="C47" s="1"/>
      <c r="D47" s="1"/>
      <c r="E47" s="1"/>
      <c r="F47" s="1"/>
      <c r="G47" s="1"/>
      <c r="H47" s="1"/>
      <c r="I47" s="1"/>
      <c r="J47" s="1"/>
      <c r="K47" s="1"/>
      <c r="L47" s="1"/>
    </row>
    <row r="48" spans="1:12" ht="12.75" customHeight="1">
      <c r="A48" s="1"/>
      <c r="B48" s="1"/>
      <c r="C48" s="1"/>
      <c r="D48" s="1"/>
      <c r="E48" s="1"/>
      <c r="F48" s="1"/>
      <c r="G48" s="1"/>
      <c r="H48" s="1"/>
      <c r="I48" s="1"/>
      <c r="J48" s="1"/>
      <c r="K48" s="1"/>
      <c r="L48" s="1"/>
    </row>
    <row r="49" spans="1:12" ht="12.75" customHeight="1">
      <c r="A49" s="1"/>
      <c r="B49" s="1"/>
      <c r="C49" s="1"/>
      <c r="D49" s="1"/>
      <c r="E49" s="1"/>
      <c r="F49" s="1"/>
      <c r="G49" s="1"/>
      <c r="H49" s="1"/>
      <c r="I49" s="1"/>
      <c r="J49" s="1"/>
      <c r="K49" s="1"/>
      <c r="L49" s="1"/>
    </row>
    <row r="50" spans="1:12" ht="12.75" customHeight="1">
      <c r="A50" s="1"/>
      <c r="B50" s="1"/>
      <c r="C50" s="1"/>
      <c r="D50" s="1"/>
      <c r="E50" s="1"/>
      <c r="F50" s="1"/>
      <c r="G50" s="1"/>
      <c r="H50" s="1"/>
      <c r="I50" s="1"/>
      <c r="J50" s="1"/>
      <c r="K50" s="1"/>
      <c r="L50" s="1"/>
    </row>
    <row r="51" spans="1:12" ht="12.75" customHeight="1">
      <c r="A51" s="1"/>
      <c r="B51" s="1"/>
      <c r="C51" s="1"/>
      <c r="D51" s="1"/>
      <c r="E51" s="1"/>
      <c r="F51" s="1"/>
      <c r="G51" s="1"/>
      <c r="H51" s="1"/>
      <c r="I51" s="1"/>
      <c r="J51" s="1"/>
      <c r="K51" s="1"/>
      <c r="L51" s="1"/>
    </row>
    <row r="52" spans="1:12" ht="12.75" customHeight="1">
      <c r="A52" s="1"/>
      <c r="B52" s="1"/>
      <c r="C52" s="1"/>
      <c r="D52" s="1"/>
      <c r="E52" s="1"/>
      <c r="F52" s="1"/>
      <c r="G52" s="1"/>
      <c r="H52" s="1"/>
      <c r="I52" s="1"/>
      <c r="J52" s="1"/>
      <c r="K52" s="1"/>
      <c r="L52" s="1"/>
    </row>
    <row r="53" spans="1:12" ht="12.75" customHeight="1">
      <c r="A53" s="1"/>
      <c r="B53" s="1"/>
      <c r="C53" s="1"/>
      <c r="D53" s="1"/>
      <c r="E53" s="1"/>
      <c r="F53" s="1"/>
      <c r="G53" s="1"/>
      <c r="H53" s="1"/>
      <c r="I53" s="1"/>
      <c r="J53" s="1"/>
      <c r="K53" s="1"/>
      <c r="L53" s="1"/>
    </row>
    <row r="54" spans="1:12" ht="12.75" customHeight="1">
      <c r="A54" s="1"/>
      <c r="B54" s="1"/>
      <c r="C54" s="1"/>
      <c r="D54" s="1"/>
      <c r="E54" s="1"/>
      <c r="F54" s="1"/>
      <c r="G54" s="1"/>
      <c r="H54" s="1"/>
      <c r="I54" s="1"/>
      <c r="J54" s="1"/>
      <c r="K54" s="1"/>
      <c r="L54" s="1"/>
    </row>
    <row r="55" spans="1:12" ht="12.75" customHeight="1">
      <c r="A55" s="1"/>
      <c r="B55" s="1"/>
      <c r="C55" s="1"/>
      <c r="D55" s="1"/>
      <c r="E55" s="1"/>
      <c r="F55" s="1"/>
      <c r="G55" s="1"/>
      <c r="H55" s="1"/>
      <c r="I55" s="1"/>
      <c r="J55" s="1"/>
      <c r="K55" s="1"/>
      <c r="L55" s="1"/>
    </row>
    <row r="56" spans="1:12" ht="12.75" customHeight="1">
      <c r="A56" s="1"/>
      <c r="B56" s="1"/>
      <c r="C56" s="1"/>
      <c r="D56" s="1"/>
      <c r="E56" s="1"/>
      <c r="F56" s="1"/>
      <c r="G56" s="1"/>
      <c r="H56" s="1"/>
      <c r="I56" s="1"/>
      <c r="J56" s="1"/>
      <c r="K56" s="1"/>
      <c r="L56" s="1"/>
    </row>
    <row r="57" spans="1:12" ht="12.75" customHeight="1">
      <c r="A57" s="1"/>
      <c r="B57" s="1"/>
      <c r="C57" s="1"/>
      <c r="D57" s="1"/>
      <c r="E57" s="1"/>
      <c r="F57" s="1"/>
      <c r="G57" s="1"/>
      <c r="H57" s="1"/>
      <c r="I57" s="1"/>
      <c r="J57" s="1"/>
      <c r="K57" s="1"/>
      <c r="L57" s="1"/>
    </row>
    <row r="58" spans="1:12" ht="12.75" customHeight="1">
      <c r="A58" s="1"/>
      <c r="B58" s="1"/>
      <c r="C58" s="1"/>
      <c r="D58" s="1"/>
      <c r="E58" s="1"/>
      <c r="F58" s="1"/>
      <c r="G58" s="1"/>
      <c r="H58" s="1"/>
      <c r="I58" s="1"/>
      <c r="J58" s="1"/>
      <c r="K58" s="1"/>
      <c r="L58" s="1"/>
    </row>
    <row r="59" spans="1:12" ht="12.75" customHeight="1">
      <c r="A59" s="1"/>
      <c r="B59" s="1"/>
      <c r="C59" s="1"/>
      <c r="D59" s="1"/>
      <c r="E59" s="1"/>
      <c r="F59" s="1"/>
      <c r="G59" s="1"/>
      <c r="H59" s="1"/>
      <c r="I59" s="1"/>
      <c r="J59" s="1"/>
      <c r="K59" s="1"/>
      <c r="L59" s="1"/>
    </row>
    <row r="60" spans="1:12" ht="12.75" customHeight="1">
      <c r="A60" s="1"/>
      <c r="B60" s="1"/>
      <c r="C60" s="1"/>
      <c r="D60" s="1"/>
      <c r="E60" s="1"/>
      <c r="F60" s="1"/>
      <c r="G60" s="1"/>
      <c r="H60" s="1"/>
      <c r="I60" s="1"/>
      <c r="J60" s="1"/>
      <c r="K60" s="1"/>
      <c r="L60" s="1"/>
    </row>
    <row r="61" spans="1:12" ht="12.75" customHeight="1">
      <c r="A61" s="1"/>
      <c r="B61" s="1"/>
      <c r="C61" s="1"/>
      <c r="D61" s="1"/>
      <c r="E61" s="1"/>
      <c r="F61" s="1"/>
      <c r="G61" s="1"/>
      <c r="H61" s="1"/>
      <c r="I61" s="1"/>
      <c r="J61" s="1"/>
      <c r="K61" s="1"/>
      <c r="L61" s="1"/>
    </row>
    <row r="62" spans="1:12" ht="12.75" customHeight="1">
      <c r="A62" s="1"/>
      <c r="B62" s="1"/>
      <c r="C62" s="1"/>
      <c r="D62" s="1"/>
      <c r="E62" s="1"/>
      <c r="F62" s="1"/>
      <c r="G62" s="1"/>
      <c r="H62" s="1"/>
      <c r="I62" s="1"/>
      <c r="J62" s="1"/>
      <c r="K62" s="1"/>
      <c r="L62" s="1"/>
    </row>
    <row r="63" spans="1:12" ht="12.75" customHeight="1">
      <c r="A63" s="1"/>
      <c r="B63" s="1"/>
      <c r="C63" s="1"/>
      <c r="D63" s="1"/>
      <c r="E63" s="1"/>
      <c r="F63" s="1"/>
      <c r="G63" s="1"/>
      <c r="H63" s="1"/>
      <c r="I63" s="1"/>
      <c r="J63" s="1"/>
      <c r="K63" s="1"/>
      <c r="L63" s="1"/>
    </row>
    <row r="64" spans="1:12" ht="12.75" customHeight="1">
      <c r="A64" s="1"/>
      <c r="B64" s="1"/>
      <c r="C64" s="1"/>
      <c r="D64" s="1"/>
      <c r="E64" s="1"/>
      <c r="F64" s="1"/>
      <c r="G64" s="1"/>
      <c r="H64" s="1"/>
      <c r="I64" s="1"/>
      <c r="J64" s="1"/>
      <c r="K64" s="1"/>
      <c r="L64" s="1"/>
    </row>
    <row r="65" spans="1:12" ht="12.75" customHeight="1">
      <c r="A65" s="1"/>
      <c r="B65" s="1"/>
      <c r="C65" s="1"/>
      <c r="D65" s="1"/>
      <c r="E65" s="1"/>
      <c r="F65" s="1"/>
      <c r="G65" s="1"/>
      <c r="H65" s="1"/>
      <c r="I65" s="1"/>
      <c r="J65" s="1"/>
      <c r="K65" s="1"/>
      <c r="L65" s="1"/>
    </row>
    <row r="66" spans="1:12" ht="12.75" customHeight="1">
      <c r="A66" s="1"/>
      <c r="B66" s="1"/>
      <c r="C66" s="1"/>
      <c r="D66" s="1"/>
      <c r="E66" s="1"/>
      <c r="F66" s="1"/>
      <c r="G66" s="1"/>
      <c r="H66" s="1"/>
      <c r="I66" s="1"/>
      <c r="J66" s="1"/>
      <c r="K66" s="1"/>
      <c r="L66" s="1"/>
    </row>
    <row r="67" spans="1:12" ht="12.75" customHeight="1">
      <c r="A67" s="1"/>
      <c r="B67" s="1"/>
      <c r="C67" s="1"/>
      <c r="D67" s="1"/>
      <c r="E67" s="1"/>
      <c r="F67" s="1"/>
      <c r="G67" s="1"/>
      <c r="H67" s="1"/>
      <c r="I67" s="1"/>
      <c r="J67" s="1"/>
      <c r="K67" s="1"/>
      <c r="L67" s="1"/>
    </row>
    <row r="68" spans="1:12" ht="12.75" customHeight="1">
      <c r="A68" s="1"/>
      <c r="B68" s="1"/>
      <c r="C68" s="1"/>
      <c r="D68" s="1"/>
      <c r="E68" s="1"/>
      <c r="F68" s="1"/>
      <c r="G68" s="1"/>
      <c r="H68" s="1"/>
      <c r="I68" s="1"/>
      <c r="J68" s="1"/>
      <c r="K68" s="1"/>
      <c r="L68" s="1"/>
    </row>
    <row r="69" spans="1:12" ht="12.75" customHeight="1">
      <c r="A69" s="1"/>
      <c r="B69" s="1"/>
      <c r="C69" s="1"/>
      <c r="D69" s="1"/>
      <c r="E69" s="1"/>
      <c r="F69" s="1"/>
      <c r="G69" s="1"/>
      <c r="H69" s="1"/>
      <c r="I69" s="1"/>
      <c r="J69" s="1"/>
      <c r="K69" s="1"/>
      <c r="L69" s="1"/>
    </row>
    <row r="70" spans="1:12" ht="12.75" customHeight="1">
      <c r="A70" s="1"/>
      <c r="B70" s="1"/>
      <c r="C70" s="1"/>
      <c r="D70" s="1"/>
      <c r="E70" s="1"/>
      <c r="F70" s="1"/>
      <c r="G70" s="1"/>
      <c r="H70" s="1"/>
      <c r="I70" s="1"/>
      <c r="J70" s="1"/>
      <c r="K70" s="1"/>
      <c r="L70" s="1"/>
    </row>
    <row r="71" spans="1:12" ht="12.75" customHeight="1">
      <c r="A71" s="1"/>
      <c r="B71" s="1"/>
      <c r="C71" s="1"/>
      <c r="D71" s="1"/>
      <c r="E71" s="1"/>
      <c r="F71" s="1"/>
      <c r="G71" s="1"/>
      <c r="H71" s="1"/>
      <c r="I71" s="1"/>
      <c r="J71" s="1"/>
      <c r="K71" s="1"/>
      <c r="L71" s="1"/>
    </row>
    <row r="72" spans="1:12" ht="12.75" customHeight="1">
      <c r="A72" s="1"/>
      <c r="B72" s="1"/>
      <c r="C72" s="1"/>
      <c r="D72" s="1"/>
      <c r="E72" s="1"/>
      <c r="F72" s="1"/>
      <c r="G72" s="1"/>
      <c r="H72" s="1"/>
      <c r="I72" s="1"/>
      <c r="J72" s="1"/>
      <c r="K72" s="1"/>
      <c r="L72" s="1"/>
    </row>
    <row r="73" spans="1:12" ht="12.75" customHeight="1">
      <c r="A73" s="1"/>
      <c r="B73" s="1"/>
      <c r="C73" s="1"/>
      <c r="D73" s="1"/>
      <c r="E73" s="1"/>
      <c r="F73" s="1"/>
      <c r="G73" s="1"/>
      <c r="H73" s="1"/>
      <c r="I73" s="1"/>
      <c r="J73" s="1"/>
      <c r="K73" s="1"/>
      <c r="L73" s="1"/>
    </row>
    <row r="74" spans="1:12" ht="12.75" customHeight="1">
      <c r="A74" s="1"/>
      <c r="B74" s="1"/>
      <c r="C74" s="1"/>
      <c r="D74" s="1"/>
      <c r="E74" s="1"/>
      <c r="F74" s="1"/>
      <c r="G74" s="1"/>
      <c r="H74" s="1"/>
      <c r="I74" s="1"/>
      <c r="J74" s="1"/>
      <c r="K74" s="1"/>
      <c r="L74" s="1"/>
    </row>
    <row r="75" spans="1:12" ht="12.75" customHeight="1">
      <c r="A75" s="1"/>
      <c r="B75" s="1"/>
      <c r="C75" s="1"/>
      <c r="D75" s="1"/>
      <c r="E75" s="1"/>
      <c r="F75" s="1"/>
      <c r="G75" s="1"/>
      <c r="H75" s="1"/>
      <c r="I75" s="1"/>
      <c r="J75" s="1"/>
      <c r="K75" s="1"/>
      <c r="L75" s="1"/>
    </row>
    <row r="76" spans="1:12" ht="12.75" customHeight="1">
      <c r="A76" s="1"/>
      <c r="B76" s="1"/>
      <c r="C76" s="1"/>
      <c r="D76" s="1"/>
      <c r="E76" s="1"/>
      <c r="F76" s="1"/>
      <c r="G76" s="1"/>
      <c r="H76" s="1"/>
      <c r="I76" s="1"/>
      <c r="J76" s="1"/>
      <c r="K76" s="1"/>
      <c r="L76" s="1"/>
    </row>
    <row r="77" spans="1:12" ht="12.75" customHeight="1">
      <c r="A77" s="1"/>
      <c r="B77" s="1"/>
      <c r="C77" s="1"/>
      <c r="D77" s="1"/>
      <c r="E77" s="1"/>
      <c r="F77" s="1"/>
      <c r="G77" s="1"/>
      <c r="H77" s="1"/>
      <c r="I77" s="1"/>
      <c r="J77" s="1"/>
      <c r="K77" s="1"/>
      <c r="L77" s="1"/>
    </row>
    <row r="78" spans="1:12" ht="12.75" customHeight="1">
      <c r="A78" s="1"/>
      <c r="B78" s="1"/>
      <c r="C78" s="1"/>
      <c r="D78" s="1"/>
      <c r="E78" s="1"/>
      <c r="F78" s="1"/>
      <c r="G78" s="1"/>
      <c r="H78" s="1"/>
      <c r="I78" s="1"/>
      <c r="J78" s="1"/>
      <c r="K78" s="1"/>
      <c r="L78" s="1"/>
    </row>
    <row r="79" spans="1:12" ht="12.75" customHeight="1">
      <c r="A79" s="1"/>
      <c r="B79" s="1"/>
      <c r="C79" s="1"/>
      <c r="D79" s="1"/>
      <c r="E79" s="1"/>
      <c r="F79" s="1"/>
      <c r="G79" s="1"/>
      <c r="H79" s="1"/>
      <c r="I79" s="1"/>
      <c r="J79" s="1"/>
      <c r="K79" s="1"/>
      <c r="L79" s="1"/>
    </row>
    <row r="80" spans="1:12" ht="12.75" customHeight="1">
      <c r="A80" s="1"/>
      <c r="B80" s="1"/>
      <c r="C80" s="1"/>
      <c r="D80" s="1"/>
      <c r="E80" s="1"/>
      <c r="F80" s="1"/>
      <c r="G80" s="1"/>
      <c r="H80" s="1"/>
      <c r="I80" s="1"/>
      <c r="J80" s="1"/>
      <c r="K80" s="1"/>
      <c r="L80" s="1"/>
    </row>
    <row r="81" spans="1:12" ht="12.75" customHeight="1">
      <c r="A81" s="1"/>
      <c r="B81" s="1"/>
      <c r="C81" s="1"/>
      <c r="D81" s="1"/>
      <c r="E81" s="1"/>
      <c r="F81" s="1"/>
      <c r="G81" s="1"/>
      <c r="H81" s="1"/>
      <c r="I81" s="1"/>
      <c r="J81" s="1"/>
      <c r="K81" s="1"/>
      <c r="L81" s="1"/>
    </row>
    <row r="82" spans="1:12" ht="12.75" customHeight="1">
      <c r="A82" s="1"/>
      <c r="B82" s="1"/>
      <c r="C82" s="1"/>
      <c r="D82" s="1"/>
      <c r="E82" s="1"/>
      <c r="F82" s="1"/>
      <c r="G82" s="1"/>
      <c r="H82" s="1"/>
      <c r="I82" s="1"/>
      <c r="J82" s="1"/>
      <c r="K82" s="1"/>
      <c r="L82" s="1"/>
    </row>
    <row r="83" spans="1:12" ht="12.75" customHeight="1">
      <c r="A83" s="1"/>
      <c r="B83" s="1"/>
      <c r="C83" s="1"/>
      <c r="D83" s="1"/>
      <c r="E83" s="1"/>
      <c r="F83" s="1"/>
      <c r="G83" s="1"/>
      <c r="H83" s="1"/>
      <c r="I83" s="1"/>
      <c r="J83" s="1"/>
      <c r="K83" s="1"/>
      <c r="L83" s="1"/>
    </row>
    <row r="84" spans="1:12" ht="12.75" customHeight="1">
      <c r="A84" s="1"/>
      <c r="B84" s="1"/>
      <c r="C84" s="1"/>
      <c r="D84" s="1"/>
      <c r="E84" s="1"/>
      <c r="F84" s="1"/>
      <c r="G84" s="1"/>
      <c r="H84" s="1"/>
      <c r="I84" s="1"/>
      <c r="J84" s="1"/>
      <c r="K84" s="1"/>
      <c r="L84" s="1"/>
    </row>
    <row r="85" spans="1:12" ht="12.75" customHeight="1">
      <c r="A85" s="1"/>
      <c r="B85" s="1"/>
      <c r="C85" s="1"/>
      <c r="D85" s="1"/>
      <c r="E85" s="1"/>
      <c r="F85" s="1"/>
      <c r="G85" s="1"/>
      <c r="H85" s="1"/>
      <c r="I85" s="1"/>
      <c r="J85" s="1"/>
      <c r="K85" s="1"/>
      <c r="L85" s="1"/>
    </row>
    <row r="86" spans="1:12" ht="12.75" customHeight="1">
      <c r="A86" s="1"/>
      <c r="B86" s="1"/>
      <c r="C86" s="1"/>
      <c r="D86" s="1"/>
      <c r="E86" s="1"/>
      <c r="F86" s="1"/>
      <c r="G86" s="1"/>
      <c r="H86" s="1"/>
      <c r="I86" s="1"/>
      <c r="J86" s="1"/>
      <c r="K86" s="1"/>
      <c r="L86" s="1"/>
    </row>
    <row r="87" spans="1:12" ht="12.75" customHeight="1">
      <c r="A87" s="1"/>
      <c r="B87" s="1"/>
      <c r="C87" s="1"/>
      <c r="D87" s="1"/>
      <c r="E87" s="1"/>
      <c r="F87" s="1"/>
      <c r="G87" s="1"/>
      <c r="H87" s="1"/>
      <c r="I87" s="1"/>
      <c r="J87" s="1"/>
      <c r="K87" s="1"/>
      <c r="L87" s="1"/>
    </row>
    <row r="88" spans="1:12" ht="12.75" customHeight="1">
      <c r="A88" s="1"/>
      <c r="B88" s="1"/>
      <c r="C88" s="1"/>
      <c r="D88" s="1"/>
      <c r="E88" s="1"/>
      <c r="F88" s="1"/>
      <c r="G88" s="1"/>
      <c r="H88" s="1"/>
      <c r="I88" s="1"/>
      <c r="J88" s="1"/>
      <c r="K88" s="1"/>
      <c r="L88" s="1"/>
    </row>
    <row r="89" spans="1:12" ht="12.75" customHeight="1">
      <c r="A89" s="1"/>
      <c r="B89" s="1"/>
      <c r="C89" s="1"/>
      <c r="D89" s="1"/>
      <c r="E89" s="1"/>
      <c r="F89" s="1"/>
      <c r="G89" s="1"/>
      <c r="H89" s="1"/>
      <c r="I89" s="1"/>
      <c r="J89" s="1"/>
      <c r="K89" s="1"/>
      <c r="L89" s="1"/>
    </row>
    <row r="90" spans="1:12" ht="12.75" customHeight="1">
      <c r="A90" s="1"/>
      <c r="B90" s="1"/>
      <c r="C90" s="1"/>
      <c r="D90" s="1"/>
      <c r="E90" s="1"/>
      <c r="F90" s="1"/>
      <c r="G90" s="1"/>
      <c r="H90" s="1"/>
      <c r="I90" s="1"/>
      <c r="J90" s="1"/>
      <c r="K90" s="1"/>
      <c r="L90" s="1"/>
    </row>
    <row r="91" spans="1:12" ht="12.75" customHeight="1">
      <c r="A91" s="1"/>
      <c r="B91" s="1"/>
      <c r="C91" s="1"/>
      <c r="D91" s="1"/>
      <c r="E91" s="1"/>
      <c r="F91" s="1"/>
      <c r="G91" s="1"/>
      <c r="H91" s="1"/>
      <c r="I91" s="1"/>
      <c r="J91" s="1"/>
      <c r="K91" s="1"/>
      <c r="L91" s="1"/>
    </row>
    <row r="92" spans="1:12" ht="12.75" customHeight="1">
      <c r="A92" s="1"/>
      <c r="B92" s="1"/>
      <c r="C92" s="1"/>
      <c r="D92" s="1"/>
      <c r="E92" s="1"/>
      <c r="F92" s="1"/>
      <c r="G92" s="1"/>
      <c r="H92" s="1"/>
      <c r="I92" s="1"/>
      <c r="J92" s="1"/>
      <c r="K92" s="1"/>
      <c r="L92" s="1"/>
    </row>
    <row r="93" spans="1:12" ht="12.75" customHeight="1">
      <c r="A93" s="1"/>
      <c r="B93" s="1"/>
      <c r="C93" s="1"/>
      <c r="D93" s="1"/>
      <c r="E93" s="1"/>
      <c r="F93" s="1"/>
      <c r="G93" s="1"/>
      <c r="H93" s="1"/>
      <c r="I93" s="1"/>
      <c r="J93" s="1"/>
      <c r="K93" s="1"/>
      <c r="L93" s="1"/>
    </row>
    <row r="94" spans="1:12" ht="12.75" customHeight="1">
      <c r="A94" s="1"/>
      <c r="B94" s="1"/>
      <c r="C94" s="1"/>
      <c r="D94" s="1"/>
      <c r="E94" s="1"/>
      <c r="F94" s="1"/>
      <c r="G94" s="1"/>
      <c r="H94" s="1"/>
      <c r="I94" s="1"/>
      <c r="J94" s="1"/>
      <c r="K94" s="1"/>
      <c r="L94" s="1"/>
    </row>
    <row r="95" spans="1:12" ht="12.75" customHeight="1">
      <c r="A95" s="1"/>
      <c r="B95" s="1"/>
      <c r="C95" s="1"/>
      <c r="D95" s="1"/>
      <c r="E95" s="1"/>
      <c r="F95" s="1"/>
      <c r="G95" s="1"/>
      <c r="H95" s="1"/>
      <c r="I95" s="1"/>
      <c r="J95" s="1"/>
      <c r="K95" s="1"/>
      <c r="L95" s="1"/>
    </row>
    <row r="96" spans="1:12" ht="12.75" customHeight="1">
      <c r="A96" s="1"/>
      <c r="B96" s="1"/>
      <c r="C96" s="1"/>
      <c r="D96" s="1"/>
      <c r="E96" s="1"/>
      <c r="F96" s="1"/>
      <c r="G96" s="1"/>
      <c r="H96" s="1"/>
      <c r="I96" s="1"/>
      <c r="J96" s="1"/>
      <c r="K96" s="1"/>
      <c r="L96" s="1"/>
    </row>
    <row r="97" spans="1:12" ht="12.75" customHeight="1">
      <c r="A97" s="1"/>
      <c r="B97" s="1"/>
      <c r="C97" s="1"/>
      <c r="D97" s="1"/>
      <c r="E97" s="1"/>
      <c r="F97" s="1"/>
      <c r="G97" s="1"/>
      <c r="H97" s="1"/>
      <c r="I97" s="1"/>
      <c r="J97" s="1"/>
      <c r="K97" s="1"/>
      <c r="L97" s="1"/>
    </row>
    <row r="98" spans="1:12" ht="12.75" customHeight="1">
      <c r="A98" s="1"/>
      <c r="B98" s="1"/>
      <c r="C98" s="1"/>
      <c r="D98" s="1"/>
      <c r="E98" s="1"/>
      <c r="F98" s="1"/>
      <c r="G98" s="1"/>
      <c r="H98" s="1"/>
      <c r="I98" s="1"/>
      <c r="J98" s="1"/>
      <c r="K98" s="1"/>
      <c r="L98" s="1"/>
    </row>
    <row r="99" spans="1:12" ht="12.75" customHeight="1">
      <c r="A99" s="1"/>
      <c r="B99" s="1"/>
      <c r="C99" s="1"/>
      <c r="D99" s="1"/>
      <c r="E99" s="1"/>
      <c r="F99" s="1"/>
      <c r="G99" s="1"/>
      <c r="H99" s="1"/>
      <c r="I99" s="1"/>
      <c r="J99" s="1"/>
      <c r="K99" s="1"/>
      <c r="L99" s="1"/>
    </row>
    <row r="100" spans="1:12" ht="12.75" customHeight="1">
      <c r="A100" s="1"/>
      <c r="B100" s="1"/>
      <c r="C100" s="1"/>
      <c r="D100" s="1"/>
      <c r="E100" s="1"/>
      <c r="F100" s="1"/>
      <c r="G100" s="1"/>
      <c r="H100" s="1"/>
      <c r="I100" s="1"/>
      <c r="J100" s="1"/>
      <c r="K100" s="1"/>
      <c r="L100" s="1"/>
    </row>
    <row r="101" spans="1:12" ht="15.75" customHeight="1"/>
    <row r="102" spans="1:12" ht="15.75" customHeight="1"/>
    <row r="103" spans="1:12" ht="15.75" customHeight="1"/>
    <row r="104" spans="1:12" ht="15.75" customHeight="1"/>
    <row r="105" spans="1:12" ht="15.75" customHeight="1"/>
    <row r="106" spans="1:12" ht="15.75" customHeight="1"/>
    <row r="107" spans="1:12" ht="15.75" customHeight="1"/>
    <row r="108" spans="1:12" ht="15.75" customHeight="1"/>
    <row r="109" spans="1:12" ht="15.75" customHeight="1"/>
    <row r="110" spans="1:12" ht="15.75" customHeight="1"/>
    <row r="111" spans="1:12" ht="15.75" customHeight="1"/>
    <row r="112" spans="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L1"/>
    <mergeCell ref="B37:C3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4.42578125" defaultRowHeight="15" customHeight="1"/>
  <cols>
    <col min="1" max="1" width="26.28515625" customWidth="1"/>
    <col min="2" max="2" width="94.85546875" customWidth="1"/>
    <col min="3" max="3" width="54.42578125" customWidth="1"/>
    <col min="4" max="6" width="9.140625" customWidth="1"/>
    <col min="7" max="11" width="8.7109375" customWidth="1"/>
  </cols>
  <sheetData>
    <row r="1" spans="1:11">
      <c r="A1" s="124" t="s">
        <v>944</v>
      </c>
      <c r="B1" s="124" t="s">
        <v>945</v>
      </c>
      <c r="C1" s="126" t="s">
        <v>946</v>
      </c>
      <c r="D1" s="31"/>
      <c r="E1" s="31"/>
      <c r="F1" s="31"/>
      <c r="G1" s="31"/>
      <c r="H1" s="31"/>
      <c r="I1" s="31"/>
      <c r="J1" s="31"/>
      <c r="K1" s="31"/>
    </row>
    <row r="2" spans="1:11">
      <c r="A2" s="125"/>
      <c r="B2" s="125"/>
      <c r="C2" s="125"/>
      <c r="D2" s="31"/>
      <c r="E2" s="31"/>
      <c r="F2" s="31"/>
      <c r="G2" s="31"/>
      <c r="H2" s="31"/>
      <c r="I2" s="31"/>
      <c r="J2" s="31"/>
      <c r="K2" s="31"/>
    </row>
    <row r="3" spans="1:11" ht="60">
      <c r="A3" s="32" t="s">
        <v>6</v>
      </c>
      <c r="B3" s="26" t="s">
        <v>947</v>
      </c>
      <c r="C3" s="33" t="s">
        <v>948</v>
      </c>
      <c r="D3" s="31"/>
      <c r="E3" s="31"/>
      <c r="F3" s="31"/>
      <c r="G3" s="31"/>
      <c r="H3" s="31"/>
      <c r="I3" s="31"/>
      <c r="J3" s="31"/>
      <c r="K3" s="31"/>
    </row>
    <row r="4" spans="1:11">
      <c r="A4" s="32" t="s">
        <v>11</v>
      </c>
      <c r="B4" s="34"/>
      <c r="C4" s="33" t="s">
        <v>948</v>
      </c>
      <c r="D4" s="31"/>
      <c r="E4" s="31"/>
      <c r="F4" s="31"/>
      <c r="G4" s="31"/>
      <c r="H4" s="31"/>
      <c r="I4" s="31"/>
      <c r="J4" s="31"/>
      <c r="K4" s="31"/>
    </row>
    <row r="5" spans="1:11">
      <c r="A5" s="32" t="s">
        <v>25</v>
      </c>
      <c r="B5" s="35"/>
      <c r="C5" s="32" t="s">
        <v>949</v>
      </c>
      <c r="D5" s="31"/>
      <c r="E5" s="31"/>
      <c r="F5" s="31"/>
      <c r="G5" s="31"/>
      <c r="H5" s="31"/>
      <c r="I5" s="31"/>
      <c r="J5" s="31"/>
      <c r="K5" s="31"/>
    </row>
    <row r="6" spans="1:11" ht="30">
      <c r="A6" s="32" t="s">
        <v>43</v>
      </c>
      <c r="B6" s="34" t="s">
        <v>950</v>
      </c>
      <c r="C6" s="32" t="s">
        <v>949</v>
      </c>
      <c r="D6" s="31"/>
      <c r="E6" s="31"/>
      <c r="F6" s="31"/>
      <c r="G6" s="31"/>
      <c r="H6" s="31"/>
      <c r="I6" s="31"/>
      <c r="J6" s="31"/>
      <c r="K6" s="31"/>
    </row>
    <row r="7" spans="1:11">
      <c r="A7" s="32" t="s">
        <v>47</v>
      </c>
      <c r="B7" s="32"/>
      <c r="C7" s="33" t="s">
        <v>948</v>
      </c>
      <c r="D7" s="31"/>
      <c r="E7" s="31"/>
      <c r="F7" s="31"/>
      <c r="G7" s="31"/>
      <c r="H7" s="31"/>
      <c r="I7" s="31"/>
      <c r="J7" s="31"/>
      <c r="K7" s="31"/>
    </row>
    <row r="8" spans="1:11">
      <c r="A8" s="32" t="s">
        <v>281</v>
      </c>
      <c r="B8" s="34" t="s">
        <v>951</v>
      </c>
      <c r="C8" s="32" t="s">
        <v>949</v>
      </c>
      <c r="D8" s="31"/>
      <c r="E8" s="31"/>
      <c r="F8" s="31"/>
      <c r="G8" s="31"/>
      <c r="H8" s="31"/>
      <c r="I8" s="31"/>
      <c r="J8" s="31"/>
      <c r="K8" s="31"/>
    </row>
    <row r="9" spans="1:11">
      <c r="A9" s="32" t="s">
        <v>294</v>
      </c>
      <c r="B9" s="32"/>
      <c r="C9" s="33" t="s">
        <v>952</v>
      </c>
      <c r="D9" s="31"/>
      <c r="E9" s="31"/>
      <c r="F9" s="31"/>
      <c r="G9" s="31"/>
      <c r="H9" s="31"/>
      <c r="I9" s="31"/>
      <c r="J9" s="31"/>
      <c r="K9" s="31"/>
    </row>
    <row r="10" spans="1:11" ht="45">
      <c r="A10" s="32" t="s">
        <v>298</v>
      </c>
      <c r="B10" s="36" t="s">
        <v>953</v>
      </c>
      <c r="C10" s="33" t="s">
        <v>948</v>
      </c>
      <c r="D10" s="31"/>
      <c r="E10" s="31"/>
      <c r="F10" s="31"/>
      <c r="G10" s="31"/>
      <c r="H10" s="31"/>
      <c r="I10" s="31"/>
      <c r="J10" s="31"/>
      <c r="K10" s="31"/>
    </row>
    <row r="11" spans="1:11" ht="30">
      <c r="A11" s="32" t="s">
        <v>301</v>
      </c>
      <c r="B11" s="34" t="s">
        <v>954</v>
      </c>
      <c r="C11" s="33" t="s">
        <v>955</v>
      </c>
      <c r="D11" s="31"/>
      <c r="E11" s="31"/>
      <c r="F11" s="31"/>
      <c r="G11" s="31"/>
      <c r="H11" s="31"/>
      <c r="I11" s="31"/>
      <c r="J11" s="31"/>
      <c r="K11" s="31"/>
    </row>
    <row r="12" spans="1:11">
      <c r="A12" s="32" t="s">
        <v>308</v>
      </c>
      <c r="B12" s="32"/>
      <c r="C12" s="33" t="s">
        <v>955</v>
      </c>
      <c r="D12" s="31"/>
      <c r="E12" s="31"/>
      <c r="F12" s="31"/>
      <c r="G12" s="31"/>
      <c r="H12" s="31"/>
      <c r="I12" s="31"/>
      <c r="J12" s="31"/>
      <c r="K12" s="31"/>
    </row>
    <row r="13" spans="1:11">
      <c r="A13" s="32" t="s">
        <v>350</v>
      </c>
      <c r="B13" s="32" t="s">
        <v>956</v>
      </c>
      <c r="C13" s="32" t="s">
        <v>949</v>
      </c>
      <c r="D13" s="31"/>
      <c r="E13" s="31"/>
      <c r="F13" s="31"/>
      <c r="G13" s="31"/>
      <c r="H13" s="31"/>
      <c r="I13" s="31"/>
      <c r="J13" s="31"/>
      <c r="K13" s="31"/>
    </row>
    <row r="14" spans="1:11">
      <c r="A14" s="32" t="s">
        <v>368</v>
      </c>
      <c r="B14" s="32"/>
      <c r="C14" s="33" t="s">
        <v>955</v>
      </c>
      <c r="D14" s="31"/>
      <c r="E14" s="31"/>
      <c r="F14" s="31"/>
      <c r="G14" s="31"/>
      <c r="H14" s="31"/>
      <c r="I14" s="31"/>
      <c r="J14" s="31"/>
      <c r="K14" s="31"/>
    </row>
    <row r="15" spans="1:11">
      <c r="A15" s="32" t="s">
        <v>376</v>
      </c>
      <c r="B15" s="32"/>
      <c r="C15" s="33" t="s">
        <v>948</v>
      </c>
      <c r="D15" s="31"/>
      <c r="E15" s="31"/>
      <c r="F15" s="31"/>
      <c r="G15" s="31"/>
      <c r="H15" s="31"/>
      <c r="I15" s="31"/>
      <c r="J15" s="31"/>
      <c r="K15" s="31"/>
    </row>
    <row r="16" spans="1:11" ht="30">
      <c r="A16" s="32" t="s">
        <v>381</v>
      </c>
      <c r="B16" s="34" t="s">
        <v>957</v>
      </c>
      <c r="C16" s="32" t="s">
        <v>949</v>
      </c>
      <c r="D16" s="31"/>
      <c r="E16" s="31"/>
      <c r="F16" s="31"/>
      <c r="G16" s="31"/>
      <c r="H16" s="31"/>
      <c r="I16" s="31"/>
      <c r="J16" s="31"/>
      <c r="K16" s="31"/>
    </row>
    <row r="17" spans="1:11">
      <c r="A17" s="32" t="s">
        <v>398</v>
      </c>
      <c r="B17" s="32"/>
      <c r="C17" s="33" t="s">
        <v>948</v>
      </c>
      <c r="D17" s="31"/>
      <c r="E17" s="31"/>
      <c r="F17" s="31"/>
      <c r="G17" s="31"/>
      <c r="H17" s="31"/>
      <c r="I17" s="31"/>
      <c r="J17" s="31"/>
      <c r="K17" s="31"/>
    </row>
    <row r="18" spans="1:11">
      <c r="A18" s="32" t="s">
        <v>413</v>
      </c>
      <c r="B18" s="32"/>
      <c r="C18" s="32" t="s">
        <v>949</v>
      </c>
      <c r="D18" s="31"/>
      <c r="E18" s="31"/>
      <c r="F18" s="31"/>
      <c r="G18" s="31"/>
      <c r="H18" s="31"/>
      <c r="I18" s="31"/>
      <c r="J18" s="31"/>
      <c r="K18" s="31"/>
    </row>
    <row r="19" spans="1:11">
      <c r="A19" s="32" t="s">
        <v>421</v>
      </c>
      <c r="B19" s="32"/>
      <c r="C19" s="32" t="s">
        <v>949</v>
      </c>
      <c r="D19" s="31"/>
      <c r="E19" s="31"/>
      <c r="F19" s="31"/>
      <c r="G19" s="31"/>
      <c r="H19" s="31"/>
      <c r="I19" s="31"/>
      <c r="J19" s="31"/>
      <c r="K19" s="31"/>
    </row>
    <row r="20" spans="1:11">
      <c r="A20" s="32" t="s">
        <v>423</v>
      </c>
      <c r="B20" s="32"/>
      <c r="C20" s="32" t="s">
        <v>949</v>
      </c>
      <c r="D20" s="31"/>
      <c r="E20" s="31"/>
      <c r="F20" s="31"/>
      <c r="G20" s="31"/>
      <c r="H20" s="31"/>
      <c r="I20" s="31"/>
      <c r="J20" s="31"/>
      <c r="K20" s="31"/>
    </row>
    <row r="21" spans="1:11" ht="15.75" customHeight="1">
      <c r="A21" s="32" t="s">
        <v>430</v>
      </c>
      <c r="B21" s="32"/>
      <c r="C21" s="32" t="s">
        <v>949</v>
      </c>
      <c r="D21" s="31"/>
      <c r="E21" s="31"/>
      <c r="F21" s="31"/>
      <c r="G21" s="31"/>
      <c r="H21" s="31"/>
      <c r="I21" s="31"/>
      <c r="J21" s="31"/>
      <c r="K21" s="31"/>
    </row>
    <row r="22" spans="1:11" ht="15.75" customHeight="1">
      <c r="A22" s="32" t="s">
        <v>443</v>
      </c>
      <c r="B22" s="32"/>
      <c r="C22" s="33" t="s">
        <v>955</v>
      </c>
      <c r="D22" s="31"/>
      <c r="E22" s="31"/>
      <c r="F22" s="31"/>
      <c r="G22" s="31"/>
      <c r="H22" s="31"/>
      <c r="I22" s="31"/>
      <c r="J22" s="31"/>
      <c r="K22" s="31"/>
    </row>
    <row r="23" spans="1:11" ht="15.75" customHeight="1">
      <c r="A23" s="32" t="s">
        <v>450</v>
      </c>
      <c r="B23" s="32"/>
      <c r="C23" s="33" t="s">
        <v>948</v>
      </c>
      <c r="D23" s="31"/>
      <c r="E23" s="31"/>
      <c r="F23" s="31"/>
      <c r="G23" s="31"/>
      <c r="H23" s="31"/>
      <c r="I23" s="31"/>
      <c r="J23" s="31"/>
      <c r="K23" s="31"/>
    </row>
    <row r="24" spans="1:11" ht="15.75" customHeight="1">
      <c r="A24" s="32" t="s">
        <v>473</v>
      </c>
      <c r="B24" s="32"/>
      <c r="C24" s="32" t="s">
        <v>949</v>
      </c>
      <c r="D24" s="31"/>
      <c r="E24" s="31"/>
      <c r="F24" s="31"/>
      <c r="G24" s="31"/>
      <c r="H24" s="31"/>
      <c r="I24" s="31"/>
      <c r="J24" s="31"/>
      <c r="K24" s="31"/>
    </row>
    <row r="25" spans="1:11" ht="15.75" customHeight="1">
      <c r="A25" s="32" t="s">
        <v>509</v>
      </c>
      <c r="B25" s="32"/>
      <c r="C25" s="32" t="s">
        <v>949</v>
      </c>
      <c r="D25" s="31"/>
      <c r="E25" s="31"/>
      <c r="F25" s="31"/>
      <c r="G25" s="31"/>
      <c r="H25" s="31"/>
      <c r="I25" s="31"/>
      <c r="J25" s="31"/>
      <c r="K25" s="31"/>
    </row>
    <row r="26" spans="1:11" ht="15.75" customHeight="1">
      <c r="A26" s="32" t="s">
        <v>519</v>
      </c>
      <c r="B26" s="32"/>
      <c r="C26" s="33" t="s">
        <v>955</v>
      </c>
      <c r="D26" s="31"/>
      <c r="E26" s="31"/>
      <c r="F26" s="31"/>
      <c r="G26" s="31"/>
      <c r="H26" s="31"/>
      <c r="I26" s="31"/>
      <c r="J26" s="31"/>
      <c r="K26" s="31"/>
    </row>
    <row r="27" spans="1:11" ht="15.75" customHeight="1">
      <c r="A27" s="32" t="s">
        <v>545</v>
      </c>
      <c r="B27" s="32"/>
      <c r="C27" s="33" t="s">
        <v>955</v>
      </c>
      <c r="D27" s="31"/>
      <c r="E27" s="31"/>
      <c r="F27" s="31"/>
      <c r="G27" s="31"/>
      <c r="H27" s="31"/>
      <c r="I27" s="31"/>
      <c r="J27" s="31"/>
      <c r="K27" s="31"/>
    </row>
    <row r="28" spans="1:11" ht="15.75" customHeight="1">
      <c r="A28" s="32" t="s">
        <v>546</v>
      </c>
      <c r="B28" s="32"/>
      <c r="C28" s="33" t="s">
        <v>948</v>
      </c>
      <c r="D28" s="31"/>
      <c r="E28" s="31"/>
      <c r="F28" s="31"/>
      <c r="G28" s="31"/>
      <c r="H28" s="31"/>
      <c r="I28" s="31"/>
      <c r="J28" s="31"/>
      <c r="K28" s="31"/>
    </row>
    <row r="29" spans="1:11" ht="15.75" customHeight="1">
      <c r="A29" s="32" t="s">
        <v>554</v>
      </c>
      <c r="B29" s="32"/>
      <c r="C29" s="33" t="s">
        <v>958</v>
      </c>
      <c r="D29" s="31"/>
      <c r="E29" s="31"/>
      <c r="F29" s="31"/>
      <c r="G29" s="31"/>
      <c r="H29" s="31"/>
      <c r="I29" s="31"/>
      <c r="J29" s="31"/>
      <c r="K29" s="31"/>
    </row>
    <row r="30" spans="1:11" ht="15.75" customHeight="1">
      <c r="A30" s="32" t="s">
        <v>569</v>
      </c>
      <c r="B30" s="32"/>
      <c r="C30" s="32" t="s">
        <v>949</v>
      </c>
      <c r="D30" s="31"/>
      <c r="E30" s="31"/>
      <c r="F30" s="31"/>
      <c r="G30" s="31"/>
      <c r="H30" s="31"/>
      <c r="I30" s="31"/>
      <c r="J30" s="31"/>
      <c r="K30" s="31"/>
    </row>
    <row r="31" spans="1:11" ht="15.75" customHeight="1">
      <c r="A31" s="32" t="s">
        <v>571</v>
      </c>
      <c r="B31" s="32"/>
      <c r="C31" s="32" t="s">
        <v>949</v>
      </c>
      <c r="D31" s="31"/>
      <c r="E31" s="31"/>
      <c r="F31" s="31"/>
      <c r="G31" s="31"/>
      <c r="H31" s="31"/>
      <c r="I31" s="31"/>
      <c r="J31" s="31"/>
      <c r="K31" s="31"/>
    </row>
    <row r="32" spans="1:11" ht="15.75" customHeight="1">
      <c r="A32" s="32" t="s">
        <v>959</v>
      </c>
      <c r="B32" s="32"/>
      <c r="C32" s="32" t="s">
        <v>949</v>
      </c>
      <c r="D32" s="31"/>
      <c r="E32" s="31"/>
      <c r="F32" s="31"/>
      <c r="G32" s="31"/>
      <c r="H32" s="31"/>
      <c r="I32" s="31"/>
      <c r="J32" s="31"/>
      <c r="K32" s="31"/>
    </row>
    <row r="33" spans="1:11" ht="15.75" customHeight="1">
      <c r="A33" s="32" t="s">
        <v>575</v>
      </c>
      <c r="B33" s="32"/>
      <c r="C33" s="33" t="s">
        <v>958</v>
      </c>
      <c r="D33" s="31"/>
      <c r="E33" s="31"/>
      <c r="F33" s="31"/>
      <c r="G33" s="31"/>
      <c r="H33" s="31"/>
      <c r="I33" s="31"/>
      <c r="J33" s="31"/>
      <c r="K33" s="31"/>
    </row>
    <row r="34" spans="1:11" ht="15.75" customHeight="1">
      <c r="A34" s="32" t="s">
        <v>593</v>
      </c>
      <c r="B34" s="32"/>
      <c r="C34" s="32" t="s">
        <v>949</v>
      </c>
      <c r="D34" s="31"/>
      <c r="E34" s="31"/>
      <c r="F34" s="31"/>
      <c r="G34" s="31"/>
      <c r="H34" s="31"/>
      <c r="I34" s="31"/>
      <c r="J34" s="31"/>
      <c r="K34" s="31"/>
    </row>
    <row r="35" spans="1:11" ht="15.75" customHeight="1">
      <c r="A35" s="32" t="s">
        <v>960</v>
      </c>
      <c r="B35" s="32"/>
      <c r="C35" s="33" t="s">
        <v>958</v>
      </c>
      <c r="D35" s="31"/>
      <c r="E35" s="31"/>
      <c r="F35" s="31"/>
      <c r="G35" s="31"/>
      <c r="H35" s="31"/>
      <c r="I35" s="31"/>
      <c r="J35" s="31"/>
      <c r="K35" s="31"/>
    </row>
    <row r="36" spans="1:11" ht="15.75" customHeight="1">
      <c r="A36" s="32" t="s">
        <v>961</v>
      </c>
      <c r="B36" s="32"/>
      <c r="C36" s="32" t="s">
        <v>949</v>
      </c>
      <c r="D36" s="31"/>
      <c r="E36" s="31"/>
      <c r="F36" s="31"/>
      <c r="G36" s="31"/>
      <c r="H36" s="31"/>
      <c r="I36" s="31"/>
      <c r="J36" s="31"/>
      <c r="K36" s="31"/>
    </row>
    <row r="37" spans="1:11" ht="15.75" customHeight="1">
      <c r="A37" s="32" t="s">
        <v>962</v>
      </c>
      <c r="B37" s="32"/>
      <c r="C37" s="70" t="s">
        <v>963</v>
      </c>
      <c r="D37" s="31"/>
      <c r="E37" s="31"/>
      <c r="F37" s="31"/>
      <c r="G37" s="31"/>
      <c r="H37" s="31"/>
      <c r="I37" s="31"/>
      <c r="J37" s="31"/>
      <c r="K37" s="31"/>
    </row>
    <row r="38" spans="1:11" ht="15.75" customHeight="1">
      <c r="A38" s="32" t="s">
        <v>964</v>
      </c>
      <c r="B38" s="32"/>
      <c r="C38" s="32"/>
      <c r="D38" s="31"/>
      <c r="E38" s="31"/>
      <c r="F38" s="31"/>
      <c r="G38" s="31"/>
      <c r="H38" s="31"/>
      <c r="I38" s="31"/>
      <c r="J38" s="31"/>
      <c r="K38" s="31"/>
    </row>
    <row r="39" spans="1:11" ht="15.75" customHeight="1">
      <c r="A39" s="32" t="s">
        <v>590</v>
      </c>
      <c r="B39" s="32"/>
      <c r="C39" s="33" t="s">
        <v>955</v>
      </c>
      <c r="D39" s="31"/>
      <c r="E39" s="31"/>
      <c r="F39" s="31"/>
      <c r="G39" s="31"/>
      <c r="H39" s="31"/>
      <c r="I39" s="31"/>
      <c r="J39" s="31"/>
      <c r="K39" s="31"/>
    </row>
    <row r="40" spans="1:11" ht="15.75" customHeight="1">
      <c r="A40" s="32" t="s">
        <v>632</v>
      </c>
      <c r="B40" s="32"/>
      <c r="C40" s="32" t="s">
        <v>949</v>
      </c>
      <c r="D40" s="31"/>
      <c r="E40" s="31"/>
      <c r="F40" s="31"/>
      <c r="G40" s="31"/>
      <c r="H40" s="31"/>
      <c r="I40" s="31"/>
      <c r="J40" s="31"/>
      <c r="K40" s="31"/>
    </row>
    <row r="41" spans="1:11" ht="15.75" customHeight="1">
      <c r="A41" s="32" t="s">
        <v>636</v>
      </c>
      <c r="B41" s="32"/>
      <c r="C41" s="33" t="s">
        <v>955</v>
      </c>
      <c r="D41" s="31"/>
      <c r="E41" s="31"/>
      <c r="F41" s="31"/>
      <c r="G41" s="31"/>
      <c r="H41" s="31"/>
      <c r="I41" s="31"/>
      <c r="J41" s="31"/>
      <c r="K41" s="31"/>
    </row>
    <row r="42" spans="1:11" ht="15.75" customHeight="1">
      <c r="A42" s="32" t="s">
        <v>637</v>
      </c>
      <c r="B42" s="32"/>
      <c r="C42" s="33" t="s">
        <v>955</v>
      </c>
      <c r="D42" s="31"/>
      <c r="E42" s="31"/>
      <c r="F42" s="31"/>
      <c r="G42" s="31"/>
      <c r="H42" s="31"/>
      <c r="I42" s="31"/>
      <c r="J42" s="31"/>
      <c r="K42" s="31"/>
    </row>
    <row r="43" spans="1:11" ht="15.75" customHeight="1">
      <c r="A43" s="32" t="s">
        <v>662</v>
      </c>
      <c r="B43" s="32"/>
      <c r="C43" s="33" t="s">
        <v>955</v>
      </c>
      <c r="D43" s="31"/>
      <c r="E43" s="31"/>
      <c r="F43" s="31"/>
      <c r="G43" s="31"/>
      <c r="H43" s="31"/>
      <c r="I43" s="31"/>
      <c r="J43" s="31"/>
      <c r="K43" s="31"/>
    </row>
    <row r="44" spans="1:11" ht="15.75" customHeight="1">
      <c r="A44" s="32" t="s">
        <v>672</v>
      </c>
      <c r="B44" s="32"/>
      <c r="C44" s="34" t="s">
        <v>965</v>
      </c>
      <c r="D44" s="31"/>
      <c r="E44" s="31"/>
      <c r="F44" s="31"/>
      <c r="G44" s="31"/>
      <c r="H44" s="31"/>
      <c r="I44" s="31"/>
      <c r="J44" s="31"/>
      <c r="K44" s="31"/>
    </row>
    <row r="45" spans="1:11" ht="15.75" customHeight="1">
      <c r="A45" s="32" t="s">
        <v>699</v>
      </c>
      <c r="B45" s="32"/>
      <c r="C45" s="33" t="s">
        <v>958</v>
      </c>
      <c r="D45" s="31"/>
      <c r="E45" s="31"/>
      <c r="F45" s="31"/>
      <c r="G45" s="31"/>
      <c r="H45" s="31"/>
      <c r="I45" s="31"/>
      <c r="J45" s="31"/>
      <c r="K45" s="31"/>
    </row>
    <row r="46" spans="1:11" ht="15.75" customHeight="1">
      <c r="A46" s="32" t="s">
        <v>724</v>
      </c>
      <c r="B46" s="32"/>
      <c r="C46" s="33" t="s">
        <v>955</v>
      </c>
      <c r="D46" s="31"/>
      <c r="E46" s="31"/>
      <c r="F46" s="31"/>
      <c r="G46" s="31"/>
      <c r="H46" s="31"/>
      <c r="I46" s="31"/>
      <c r="J46" s="31"/>
      <c r="K46" s="31"/>
    </row>
    <row r="47" spans="1:11" ht="15.75" customHeight="1">
      <c r="A47" s="32" t="s">
        <v>729</v>
      </c>
      <c r="B47" s="32"/>
      <c r="C47" s="33" t="s">
        <v>955</v>
      </c>
      <c r="D47" s="31"/>
      <c r="E47" s="31"/>
      <c r="F47" s="31"/>
      <c r="G47" s="31"/>
      <c r="H47" s="31"/>
      <c r="I47" s="31"/>
      <c r="J47" s="31"/>
      <c r="K47" s="31"/>
    </row>
    <row r="48" spans="1:11" ht="15.75" customHeight="1">
      <c r="A48" s="32" t="s">
        <v>742</v>
      </c>
      <c r="B48" s="32"/>
      <c r="C48" s="33" t="s">
        <v>955</v>
      </c>
      <c r="D48" s="31"/>
      <c r="E48" s="31"/>
      <c r="F48" s="31"/>
      <c r="G48" s="31"/>
      <c r="H48" s="31"/>
      <c r="I48" s="31"/>
      <c r="J48" s="31"/>
      <c r="K48" s="31"/>
    </row>
    <row r="49" spans="1:11" ht="15.75" customHeight="1">
      <c r="A49" s="32" t="s">
        <v>743</v>
      </c>
      <c r="B49" s="32" t="s">
        <v>966</v>
      </c>
      <c r="C49" s="32" t="s">
        <v>949</v>
      </c>
      <c r="D49" s="31"/>
      <c r="E49" s="31"/>
      <c r="F49" s="31"/>
      <c r="G49" s="31"/>
      <c r="H49" s="31"/>
      <c r="I49" s="31"/>
      <c r="J49" s="31"/>
      <c r="K49" s="31"/>
    </row>
    <row r="50" spans="1:11" ht="15.75" customHeight="1">
      <c r="A50" s="32" t="s">
        <v>751</v>
      </c>
      <c r="B50" s="32"/>
      <c r="C50" s="33" t="s">
        <v>958</v>
      </c>
      <c r="D50" s="31"/>
      <c r="E50" s="31"/>
      <c r="F50" s="31"/>
      <c r="G50" s="31"/>
      <c r="H50" s="31"/>
      <c r="I50" s="31"/>
      <c r="J50" s="31"/>
      <c r="K50" s="31"/>
    </row>
    <row r="51" spans="1:11" ht="15.75" customHeight="1">
      <c r="A51" s="32" t="s">
        <v>790</v>
      </c>
      <c r="B51" s="32"/>
      <c r="C51" s="33" t="s">
        <v>955</v>
      </c>
      <c r="D51" s="31"/>
      <c r="E51" s="31"/>
      <c r="F51" s="31"/>
      <c r="G51" s="31"/>
      <c r="H51" s="31"/>
      <c r="I51" s="31"/>
      <c r="J51" s="31"/>
      <c r="K51" s="31"/>
    </row>
    <row r="52" spans="1:11" ht="15.75" customHeight="1">
      <c r="A52" s="32" t="s">
        <v>802</v>
      </c>
      <c r="B52" s="32"/>
      <c r="C52" s="33" t="s">
        <v>958</v>
      </c>
      <c r="D52" s="31"/>
      <c r="E52" s="31"/>
      <c r="F52" s="31"/>
      <c r="G52" s="31"/>
      <c r="H52" s="31"/>
      <c r="I52" s="31"/>
      <c r="J52" s="31"/>
      <c r="K52" s="31"/>
    </row>
    <row r="53" spans="1:11" ht="15.75" customHeight="1">
      <c r="A53" s="32" t="s">
        <v>967</v>
      </c>
      <c r="B53" s="32"/>
      <c r="C53" s="33" t="s">
        <v>955</v>
      </c>
      <c r="D53" s="31"/>
      <c r="E53" s="31"/>
      <c r="F53" s="31"/>
      <c r="G53" s="31"/>
      <c r="H53" s="31"/>
      <c r="I53" s="31"/>
      <c r="J53" s="31"/>
      <c r="K53" s="31"/>
    </row>
    <row r="54" spans="1:11" ht="15.75" customHeight="1">
      <c r="A54" s="32" t="s">
        <v>816</v>
      </c>
      <c r="B54" s="32"/>
      <c r="C54" s="33" t="s">
        <v>955</v>
      </c>
      <c r="D54" s="31"/>
      <c r="E54" s="31"/>
      <c r="F54" s="31"/>
      <c r="G54" s="31"/>
      <c r="H54" s="31"/>
      <c r="I54" s="31"/>
      <c r="J54" s="31"/>
      <c r="K54" s="31"/>
    </row>
    <row r="55" spans="1:11" ht="15.75" customHeight="1">
      <c r="A55" s="32" t="s">
        <v>810</v>
      </c>
      <c r="B55" s="32"/>
      <c r="C55" s="33" t="s">
        <v>955</v>
      </c>
      <c r="D55" s="31"/>
      <c r="E55" s="31"/>
      <c r="F55" s="31"/>
      <c r="G55" s="31"/>
      <c r="H55" s="31"/>
      <c r="I55" s="31"/>
      <c r="J55" s="31"/>
      <c r="K55" s="31"/>
    </row>
    <row r="56" spans="1:11" ht="15.75" customHeight="1">
      <c r="A56" s="32" t="s">
        <v>968</v>
      </c>
      <c r="B56" s="32"/>
      <c r="C56" s="33" t="s">
        <v>955</v>
      </c>
      <c r="D56" s="31"/>
      <c r="E56" s="31"/>
      <c r="F56" s="31"/>
      <c r="G56" s="31"/>
      <c r="H56" s="31"/>
      <c r="I56" s="31"/>
      <c r="J56" s="31"/>
      <c r="K56" s="31"/>
    </row>
    <row r="57" spans="1:11" ht="15.75" customHeight="1">
      <c r="A57" s="32" t="s">
        <v>869</v>
      </c>
      <c r="B57" s="34" t="s">
        <v>969</v>
      </c>
      <c r="C57" s="33" t="s">
        <v>958</v>
      </c>
      <c r="D57" s="31"/>
      <c r="E57" s="31"/>
      <c r="F57" s="31"/>
      <c r="G57" s="31"/>
      <c r="H57" s="31"/>
      <c r="I57" s="31"/>
      <c r="J57" s="31"/>
      <c r="K57" s="31"/>
    </row>
    <row r="58" spans="1:11" ht="15.75" customHeight="1">
      <c r="A58" s="32" t="s">
        <v>875</v>
      </c>
      <c r="B58" s="32"/>
      <c r="C58" s="32" t="s">
        <v>949</v>
      </c>
      <c r="D58" s="31"/>
      <c r="E58" s="31"/>
      <c r="F58" s="31"/>
      <c r="G58" s="31"/>
      <c r="H58" s="31"/>
      <c r="I58" s="31"/>
      <c r="J58" s="31"/>
      <c r="K58" s="31"/>
    </row>
    <row r="59" spans="1:11" ht="15.75" customHeight="1">
      <c r="A59" s="31"/>
      <c r="B59" s="31"/>
      <c r="C59" s="31"/>
      <c r="D59" s="31"/>
      <c r="E59" s="31"/>
      <c r="F59" s="31"/>
      <c r="G59" s="31"/>
      <c r="H59" s="31"/>
      <c r="I59" s="31"/>
      <c r="J59" s="31"/>
      <c r="K59" s="31"/>
    </row>
    <row r="60" spans="1:11" ht="15.75" customHeight="1">
      <c r="A60" s="31"/>
      <c r="B60" s="31"/>
      <c r="C60" s="31"/>
      <c r="D60" s="31"/>
      <c r="E60" s="31"/>
      <c r="F60" s="31"/>
      <c r="G60" s="31"/>
      <c r="H60" s="31"/>
      <c r="I60" s="31"/>
      <c r="J60" s="31"/>
      <c r="K60" s="31"/>
    </row>
    <row r="61" spans="1:11" ht="15.75" customHeight="1">
      <c r="A61" s="31"/>
      <c r="B61" s="31"/>
      <c r="C61" s="31"/>
      <c r="D61" s="31"/>
      <c r="E61" s="31"/>
      <c r="F61" s="31"/>
      <c r="G61" s="31"/>
      <c r="H61" s="31"/>
      <c r="I61" s="31"/>
      <c r="J61" s="31"/>
      <c r="K61" s="31"/>
    </row>
    <row r="62" spans="1:11" ht="15.75" customHeight="1">
      <c r="A62" s="31"/>
      <c r="B62" s="31"/>
      <c r="C62" s="31"/>
      <c r="D62" s="31"/>
      <c r="E62" s="31"/>
      <c r="F62" s="31"/>
      <c r="G62" s="31"/>
      <c r="H62" s="31"/>
      <c r="I62" s="31"/>
      <c r="J62" s="31"/>
      <c r="K62" s="31"/>
    </row>
    <row r="63" spans="1:11" ht="15.75" customHeight="1">
      <c r="A63" s="31"/>
      <c r="B63" s="31"/>
      <c r="C63" s="31"/>
      <c r="D63" s="31"/>
      <c r="E63" s="31"/>
      <c r="F63" s="31"/>
      <c r="G63" s="31"/>
      <c r="H63" s="31"/>
      <c r="I63" s="31"/>
      <c r="J63" s="31"/>
      <c r="K63" s="31"/>
    </row>
    <row r="64" spans="1:11" ht="15.75" customHeight="1">
      <c r="A64" s="31"/>
      <c r="B64" s="31"/>
      <c r="C64" s="31"/>
      <c r="D64" s="31"/>
      <c r="E64" s="31"/>
      <c r="F64" s="31"/>
      <c r="G64" s="31"/>
      <c r="H64" s="31"/>
      <c r="I64" s="31"/>
      <c r="J64" s="31"/>
      <c r="K64" s="31"/>
    </row>
    <row r="65" spans="1:11" ht="15.75" customHeight="1">
      <c r="A65" s="31"/>
      <c r="B65" s="31"/>
      <c r="C65" s="31"/>
      <c r="D65" s="31"/>
      <c r="E65" s="31"/>
      <c r="F65" s="31"/>
      <c r="G65" s="31"/>
      <c r="H65" s="31"/>
      <c r="I65" s="31"/>
      <c r="J65" s="31"/>
      <c r="K65" s="31"/>
    </row>
    <row r="66" spans="1:11" ht="15.75" customHeight="1">
      <c r="A66" s="31"/>
      <c r="B66" s="31"/>
      <c r="C66" s="31"/>
      <c r="D66" s="31"/>
      <c r="E66" s="31"/>
      <c r="F66" s="31"/>
      <c r="G66" s="31"/>
      <c r="H66" s="31"/>
      <c r="I66" s="31"/>
      <c r="J66" s="31"/>
      <c r="K66" s="31"/>
    </row>
    <row r="67" spans="1:11" ht="15.75" customHeight="1">
      <c r="A67" s="31"/>
      <c r="B67" s="31"/>
      <c r="C67" s="31"/>
      <c r="D67" s="31"/>
      <c r="E67" s="31"/>
      <c r="F67" s="31"/>
      <c r="G67" s="31"/>
      <c r="H67" s="31"/>
      <c r="I67" s="31"/>
      <c r="J67" s="31"/>
      <c r="K67" s="31"/>
    </row>
    <row r="68" spans="1:11" ht="15.75" customHeight="1">
      <c r="A68" s="31"/>
      <c r="B68" s="31"/>
      <c r="C68" s="31"/>
      <c r="D68" s="31"/>
      <c r="E68" s="31"/>
      <c r="F68" s="31"/>
      <c r="G68" s="31"/>
      <c r="H68" s="31"/>
      <c r="I68" s="31"/>
      <c r="J68" s="31"/>
      <c r="K68" s="31"/>
    </row>
    <row r="69" spans="1:11" ht="15.75" customHeight="1">
      <c r="A69" s="31"/>
      <c r="B69" s="31"/>
      <c r="C69" s="31"/>
      <c r="D69" s="31"/>
      <c r="E69" s="31"/>
      <c r="F69" s="31"/>
      <c r="G69" s="31"/>
      <c r="H69" s="31"/>
      <c r="I69" s="31"/>
      <c r="J69" s="31"/>
      <c r="K69" s="31"/>
    </row>
    <row r="70" spans="1:11" ht="15.75" customHeight="1">
      <c r="A70" s="31"/>
      <c r="B70" s="31"/>
      <c r="C70" s="31"/>
      <c r="D70" s="31"/>
      <c r="E70" s="31"/>
      <c r="F70" s="31"/>
      <c r="G70" s="31"/>
      <c r="H70" s="31"/>
      <c r="I70" s="31"/>
      <c r="J70" s="31"/>
      <c r="K70" s="31"/>
    </row>
    <row r="71" spans="1:11" ht="15.75" customHeight="1">
      <c r="A71" s="31"/>
      <c r="B71" s="31"/>
      <c r="C71" s="31"/>
      <c r="D71" s="31"/>
      <c r="E71" s="31"/>
      <c r="F71" s="31"/>
      <c r="G71" s="31"/>
      <c r="H71" s="31"/>
      <c r="I71" s="31"/>
      <c r="J71" s="31"/>
      <c r="K71" s="31"/>
    </row>
    <row r="72" spans="1:11" ht="15.75" customHeight="1">
      <c r="A72" s="31"/>
      <c r="B72" s="31"/>
      <c r="C72" s="31"/>
      <c r="D72" s="31"/>
      <c r="E72" s="31"/>
      <c r="F72" s="31"/>
      <c r="G72" s="31"/>
      <c r="H72" s="31"/>
      <c r="I72" s="31"/>
      <c r="J72" s="31"/>
      <c r="K72" s="31"/>
    </row>
    <row r="73" spans="1:11" ht="15.75" customHeight="1">
      <c r="A73" s="31"/>
      <c r="B73" s="31"/>
      <c r="C73" s="31"/>
      <c r="D73" s="31"/>
      <c r="E73" s="31"/>
      <c r="F73" s="31"/>
      <c r="G73" s="31"/>
      <c r="H73" s="31"/>
      <c r="I73" s="31"/>
      <c r="J73" s="31"/>
      <c r="K73" s="31"/>
    </row>
    <row r="74" spans="1:11" ht="15.75" customHeight="1">
      <c r="A74" s="31"/>
      <c r="B74" s="31"/>
      <c r="C74" s="31"/>
      <c r="D74" s="31"/>
      <c r="E74" s="31"/>
      <c r="F74" s="31"/>
      <c r="G74" s="31"/>
      <c r="H74" s="31"/>
      <c r="I74" s="31"/>
      <c r="J74" s="31"/>
      <c r="K74" s="31"/>
    </row>
    <row r="75" spans="1:11" ht="15.75" customHeight="1">
      <c r="A75" s="31"/>
      <c r="B75" s="31"/>
      <c r="C75" s="31"/>
      <c r="D75" s="31"/>
      <c r="E75" s="31"/>
      <c r="F75" s="31"/>
      <c r="G75" s="31"/>
      <c r="H75" s="31"/>
      <c r="I75" s="31"/>
      <c r="J75" s="31"/>
      <c r="K75" s="31"/>
    </row>
    <row r="76" spans="1:11" ht="15.75" customHeight="1">
      <c r="A76" s="31"/>
      <c r="B76" s="31"/>
      <c r="C76" s="31"/>
      <c r="D76" s="31"/>
      <c r="E76" s="31"/>
      <c r="F76" s="31"/>
      <c r="G76" s="31"/>
      <c r="H76" s="31"/>
      <c r="I76" s="31"/>
      <c r="J76" s="31"/>
      <c r="K76" s="31"/>
    </row>
    <row r="77" spans="1:11" ht="15.75" customHeight="1">
      <c r="A77" s="31"/>
      <c r="B77" s="31"/>
      <c r="C77" s="31"/>
      <c r="D77" s="31"/>
      <c r="E77" s="31"/>
      <c r="F77" s="31"/>
      <c r="G77" s="31"/>
      <c r="H77" s="31"/>
      <c r="I77" s="31"/>
      <c r="J77" s="31"/>
      <c r="K77" s="31"/>
    </row>
    <row r="78" spans="1:11" ht="15.75" customHeight="1">
      <c r="A78" s="31"/>
      <c r="B78" s="31"/>
      <c r="C78" s="31"/>
      <c r="D78" s="31"/>
      <c r="E78" s="31"/>
      <c r="F78" s="31"/>
      <c r="G78" s="31"/>
      <c r="H78" s="31"/>
      <c r="I78" s="31"/>
      <c r="J78" s="31"/>
      <c r="K78" s="31"/>
    </row>
    <row r="79" spans="1:11" ht="15.75" customHeight="1">
      <c r="A79" s="31"/>
      <c r="B79" s="31"/>
      <c r="C79" s="31"/>
      <c r="D79" s="31"/>
      <c r="E79" s="31"/>
      <c r="F79" s="31"/>
      <c r="G79" s="31"/>
      <c r="H79" s="31"/>
      <c r="I79" s="31"/>
      <c r="J79" s="31"/>
      <c r="K79" s="31"/>
    </row>
    <row r="80" spans="1:11" ht="15.75" customHeight="1">
      <c r="A80" s="31"/>
      <c r="B80" s="31"/>
      <c r="C80" s="31"/>
      <c r="D80" s="31"/>
      <c r="E80" s="31"/>
      <c r="F80" s="31"/>
      <c r="G80" s="31"/>
      <c r="H80" s="31"/>
      <c r="I80" s="31"/>
      <c r="J80" s="31"/>
      <c r="K80" s="31"/>
    </row>
    <row r="81" spans="1:11" ht="15.75" customHeight="1">
      <c r="A81" s="31"/>
      <c r="B81" s="31"/>
      <c r="C81" s="31"/>
      <c r="D81" s="31"/>
      <c r="E81" s="31"/>
      <c r="F81" s="31"/>
      <c r="G81" s="31"/>
      <c r="H81" s="31"/>
      <c r="I81" s="31"/>
      <c r="J81" s="31"/>
      <c r="K81" s="31"/>
    </row>
    <row r="82" spans="1:11" ht="15.75" customHeight="1">
      <c r="A82" s="31"/>
      <c r="B82" s="31"/>
      <c r="C82" s="31"/>
      <c r="D82" s="31"/>
      <c r="E82" s="31"/>
      <c r="F82" s="31"/>
      <c r="G82" s="31"/>
      <c r="H82" s="31"/>
      <c r="I82" s="31"/>
      <c r="J82" s="31"/>
      <c r="K82" s="31"/>
    </row>
    <row r="83" spans="1:11" ht="15.75" customHeight="1">
      <c r="A83" s="31"/>
      <c r="B83" s="31"/>
      <c r="C83" s="31"/>
      <c r="D83" s="31"/>
      <c r="E83" s="31"/>
      <c r="F83" s="31"/>
      <c r="G83" s="31"/>
      <c r="H83" s="31"/>
      <c r="I83" s="31"/>
      <c r="J83" s="31"/>
      <c r="K83" s="31"/>
    </row>
    <row r="84" spans="1:11" ht="15.75" customHeight="1">
      <c r="A84" s="31"/>
      <c r="B84" s="31"/>
      <c r="C84" s="31"/>
      <c r="D84" s="31"/>
      <c r="E84" s="31"/>
      <c r="F84" s="31"/>
      <c r="G84" s="31"/>
      <c r="H84" s="31"/>
      <c r="I84" s="31"/>
      <c r="J84" s="31"/>
      <c r="K84" s="31"/>
    </row>
    <row r="85" spans="1:11" ht="15.75" customHeight="1">
      <c r="A85" s="31"/>
      <c r="B85" s="31"/>
      <c r="C85" s="31"/>
      <c r="D85" s="31"/>
      <c r="E85" s="31"/>
      <c r="F85" s="31"/>
      <c r="G85" s="31"/>
      <c r="H85" s="31"/>
      <c r="I85" s="31"/>
      <c r="J85" s="31"/>
      <c r="K85" s="31"/>
    </row>
    <row r="86" spans="1:11" ht="15.75" customHeight="1">
      <c r="A86" s="31"/>
      <c r="B86" s="31"/>
      <c r="C86" s="31"/>
      <c r="D86" s="31"/>
      <c r="E86" s="31"/>
      <c r="F86" s="31"/>
      <c r="G86" s="31"/>
      <c r="H86" s="31"/>
      <c r="I86" s="31"/>
      <c r="J86" s="31"/>
      <c r="K86" s="31"/>
    </row>
    <row r="87" spans="1:11" ht="15.75" customHeight="1">
      <c r="A87" s="31"/>
      <c r="B87" s="31"/>
      <c r="C87" s="31"/>
      <c r="D87" s="31"/>
      <c r="E87" s="31"/>
      <c r="F87" s="31"/>
      <c r="G87" s="31"/>
      <c r="H87" s="31"/>
      <c r="I87" s="31"/>
      <c r="J87" s="31"/>
      <c r="K87" s="31"/>
    </row>
    <row r="88" spans="1:11" ht="15.75" customHeight="1">
      <c r="A88" s="31"/>
      <c r="B88" s="31"/>
      <c r="C88" s="31"/>
      <c r="D88" s="31"/>
      <c r="E88" s="31"/>
      <c r="F88" s="31"/>
      <c r="G88" s="31"/>
      <c r="H88" s="31"/>
      <c r="I88" s="31"/>
      <c r="J88" s="31"/>
      <c r="K88" s="31"/>
    </row>
    <row r="89" spans="1:11" ht="15.75" customHeight="1">
      <c r="A89" s="31"/>
      <c r="B89" s="31"/>
      <c r="C89" s="31"/>
      <c r="D89" s="31"/>
      <c r="E89" s="31"/>
      <c r="F89" s="31"/>
      <c r="G89" s="31"/>
      <c r="H89" s="31"/>
      <c r="I89" s="31"/>
      <c r="J89" s="31"/>
      <c r="K89" s="31"/>
    </row>
    <row r="90" spans="1:11" ht="15.75" customHeight="1">
      <c r="A90" s="31"/>
      <c r="B90" s="31"/>
      <c r="C90" s="31"/>
      <c r="D90" s="31"/>
      <c r="E90" s="31"/>
      <c r="F90" s="31"/>
      <c r="G90" s="31"/>
      <c r="H90" s="31"/>
      <c r="I90" s="31"/>
      <c r="J90" s="31"/>
      <c r="K90" s="31"/>
    </row>
    <row r="91" spans="1:11" ht="15.75" customHeight="1">
      <c r="A91" s="31"/>
      <c r="B91" s="31"/>
      <c r="C91" s="31"/>
      <c r="D91" s="31"/>
      <c r="E91" s="31"/>
      <c r="F91" s="31"/>
      <c r="G91" s="31"/>
      <c r="H91" s="31"/>
      <c r="I91" s="31"/>
      <c r="J91" s="31"/>
      <c r="K91" s="31"/>
    </row>
    <row r="92" spans="1:11" ht="15.75" customHeight="1">
      <c r="A92" s="31"/>
      <c r="B92" s="31"/>
      <c r="C92" s="31"/>
      <c r="D92" s="31"/>
      <c r="E92" s="31"/>
      <c r="F92" s="31"/>
      <c r="G92" s="31"/>
      <c r="H92" s="31"/>
      <c r="I92" s="31"/>
      <c r="J92" s="31"/>
      <c r="K92" s="31"/>
    </row>
    <row r="93" spans="1:11" ht="15.75" customHeight="1">
      <c r="A93" s="31"/>
      <c r="B93" s="31"/>
      <c r="C93" s="31"/>
      <c r="D93" s="31"/>
      <c r="E93" s="31"/>
      <c r="F93" s="31"/>
      <c r="G93" s="31"/>
      <c r="H93" s="31"/>
      <c r="I93" s="31"/>
      <c r="J93" s="31"/>
      <c r="K93" s="31"/>
    </row>
    <row r="94" spans="1:11" ht="15.75" customHeight="1">
      <c r="A94" s="31"/>
      <c r="B94" s="31"/>
      <c r="C94" s="31"/>
      <c r="D94" s="31"/>
      <c r="E94" s="31"/>
      <c r="F94" s="31"/>
      <c r="G94" s="31"/>
      <c r="H94" s="31"/>
      <c r="I94" s="31"/>
      <c r="J94" s="31"/>
      <c r="K94" s="31"/>
    </row>
    <row r="95" spans="1:11" ht="15.75" customHeight="1">
      <c r="A95" s="31"/>
      <c r="B95" s="31"/>
      <c r="C95" s="31"/>
      <c r="D95" s="31"/>
      <c r="E95" s="31"/>
      <c r="F95" s="31"/>
      <c r="G95" s="31"/>
      <c r="H95" s="31"/>
      <c r="I95" s="31"/>
      <c r="J95" s="31"/>
      <c r="K95" s="31"/>
    </row>
    <row r="96" spans="1:11" ht="15.75" customHeight="1">
      <c r="A96" s="31"/>
      <c r="B96" s="31"/>
      <c r="C96" s="31"/>
      <c r="D96" s="31"/>
      <c r="E96" s="31"/>
      <c r="F96" s="31"/>
      <c r="G96" s="31"/>
      <c r="H96" s="31"/>
      <c r="I96" s="31"/>
      <c r="J96" s="31"/>
      <c r="K96" s="31"/>
    </row>
    <row r="97" spans="1:11" ht="15.75" customHeight="1">
      <c r="A97" s="31"/>
      <c r="B97" s="31"/>
      <c r="C97" s="31"/>
      <c r="D97" s="31"/>
      <c r="E97" s="31"/>
      <c r="F97" s="31"/>
      <c r="G97" s="31"/>
      <c r="H97" s="31"/>
      <c r="I97" s="31"/>
      <c r="J97" s="31"/>
      <c r="K97" s="31"/>
    </row>
    <row r="98" spans="1:11" ht="15.75" customHeight="1">
      <c r="A98" s="31"/>
      <c r="B98" s="31"/>
      <c r="C98" s="31"/>
      <c r="D98" s="31"/>
      <c r="E98" s="31"/>
      <c r="F98" s="31"/>
      <c r="G98" s="31"/>
      <c r="H98" s="31"/>
      <c r="I98" s="31"/>
      <c r="J98" s="31"/>
      <c r="K98" s="31"/>
    </row>
    <row r="99" spans="1:11" ht="15.75" customHeight="1">
      <c r="A99" s="31"/>
      <c r="B99" s="31"/>
      <c r="C99" s="31"/>
      <c r="D99" s="31"/>
      <c r="E99" s="31"/>
      <c r="F99" s="31"/>
      <c r="G99" s="31"/>
      <c r="H99" s="31"/>
      <c r="I99" s="31"/>
      <c r="J99" s="31"/>
      <c r="K99" s="31"/>
    </row>
    <row r="100" spans="1:11" ht="15.75" customHeight="1">
      <c r="A100" s="31"/>
      <c r="B100" s="31"/>
      <c r="C100" s="31"/>
      <c r="D100" s="31"/>
      <c r="E100" s="31"/>
      <c r="F100" s="31"/>
      <c r="G100" s="31"/>
      <c r="H100" s="31"/>
      <c r="I100" s="31"/>
      <c r="J100" s="31"/>
      <c r="K100" s="31"/>
    </row>
    <row r="101" spans="1:11" ht="15.75" customHeight="1"/>
    <row r="102" spans="1:11" ht="15.75" customHeight="1"/>
    <row r="103" spans="1:11" ht="15.75" customHeight="1"/>
    <row r="104" spans="1:11" ht="15.75" customHeight="1"/>
    <row r="105" spans="1:11" ht="15.75" customHeight="1"/>
    <row r="106" spans="1:11" ht="15.75" customHeight="1"/>
    <row r="107" spans="1:11" ht="15.75" customHeight="1"/>
    <row r="108" spans="1:11" ht="15.75" customHeight="1"/>
    <row r="109" spans="1:11" ht="15.75" customHeight="1"/>
    <row r="110" spans="1:11" ht="15.75" customHeight="1"/>
    <row r="111" spans="1:11" ht="15.75" customHeight="1"/>
    <row r="112" spans="1: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B1:B2"/>
    <mergeCell ref="C1:C2"/>
  </mergeCells>
  <hyperlinks>
    <hyperlink ref="C3" r:id="rId1"/>
    <hyperlink ref="C4" r:id="rId2"/>
    <hyperlink ref="C7" r:id="rId3"/>
    <hyperlink ref="C9" r:id="rId4"/>
    <hyperlink ref="C10" r:id="rId5"/>
    <hyperlink ref="C11" r:id="rId6"/>
    <hyperlink ref="C12" r:id="rId7"/>
    <hyperlink ref="C14" r:id="rId8"/>
    <hyperlink ref="C15" r:id="rId9"/>
    <hyperlink ref="C17" r:id="rId10"/>
    <hyperlink ref="C22" r:id="rId11"/>
    <hyperlink ref="C23" r:id="rId12"/>
    <hyperlink ref="C26" r:id="rId13"/>
    <hyperlink ref="C27" r:id="rId14"/>
    <hyperlink ref="C28" r:id="rId15"/>
    <hyperlink ref="C29" r:id="rId16"/>
    <hyperlink ref="C33" r:id="rId17"/>
    <hyperlink ref="C35" r:id="rId18"/>
    <hyperlink ref="C37" r:id="rId19"/>
    <hyperlink ref="C39" r:id="rId20"/>
    <hyperlink ref="C41" r:id="rId21"/>
    <hyperlink ref="C42" r:id="rId22"/>
    <hyperlink ref="C43" r:id="rId23"/>
    <hyperlink ref="C45" r:id="rId24"/>
    <hyperlink ref="C46" r:id="rId25"/>
    <hyperlink ref="C50" r:id="rId26"/>
    <hyperlink ref="C51" r:id="rId27"/>
    <hyperlink ref="C52" r:id="rId28"/>
    <hyperlink ref="C53" r:id="rId29"/>
    <hyperlink ref="C54" r:id="rId30"/>
    <hyperlink ref="C57" r:id="rId31"/>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97789EA3A1E241B2B7629A170AB214" ma:contentTypeVersion="4" ma:contentTypeDescription="Create a new document." ma:contentTypeScope="" ma:versionID="5fe5068aeaeb82d2d61c7886f121af2f">
  <xsd:schema xmlns:xsd="http://www.w3.org/2001/XMLSchema" xmlns:xs="http://www.w3.org/2001/XMLSchema" xmlns:p="http://schemas.microsoft.com/office/2006/metadata/properties" xmlns:ns2="f8b31c87-c514-44ec-b57d-23508fb4a3b1" targetNamespace="http://schemas.microsoft.com/office/2006/metadata/properties" ma:root="true" ma:fieldsID="5f9cf63fc2a352e0f3dfab6d8acadedf" ns2:_="">
    <xsd:import namespace="f8b31c87-c514-44ec-b57d-23508fb4a3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31c87-c514-44ec-b57d-23508fb4a3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CF6242-4BF4-4A16-BA8B-ACC6EEB28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31c87-c514-44ec-b57d-23508fb4a3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7AA1F2-77A7-4F1E-B27C-8233F4604F6B}">
  <ds:schemaRefs>
    <ds:schemaRef ds:uri="http://schemas.microsoft.com/sharepoint/v3/contenttype/forms"/>
  </ds:schemaRefs>
</ds:datastoreItem>
</file>

<file path=customXml/itemProps3.xml><?xml version="1.0" encoding="utf-8"?>
<ds:datastoreItem xmlns:ds="http://schemas.openxmlformats.org/officeDocument/2006/customXml" ds:itemID="{3E23B694-BCB8-4707-8BD6-A3D9376DBB63}">
  <ds:schemaRefs>
    <ds:schemaRef ds:uri="http://schemas.microsoft.com/office/2006/documentManagement/types"/>
    <ds:schemaRef ds:uri="f8b31c87-c514-44ec-b57d-23508fb4a3b1"/>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 &amp; Jurisdiction Response</vt:lpstr>
      <vt:lpstr>2nd Round CDBG-CV Fund Uses</vt:lpstr>
      <vt:lpstr>States with Federal Approval</vt:lpstr>
      <vt:lpstr>2019 QAP Data Input</vt:lpstr>
      <vt:lpstr>9% LIHTC Language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Emmily De Los Santos(Intern)</dc:creator>
  <cp:keywords/>
  <dc:description/>
  <cp:lastModifiedBy>Christian Henry</cp:lastModifiedBy>
  <cp:revision/>
  <dcterms:created xsi:type="dcterms:W3CDTF">2019-02-15T19:44:51Z</dcterms:created>
  <dcterms:modified xsi:type="dcterms:W3CDTF">2020-11-13T21:11:42Z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0x010100DC97789EA3A1E241B2B7629A170AB214</vt:lpwstr>
  </property>
</Properties>
</file>