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5655" activeTab="2"/>
  </bookViews>
  <sheets>
    <sheet name="Services" sheetId="1" r:id="rId1"/>
    <sheet name="M&amp;O" sheetId="2" r:id="rId2"/>
    <sheet name="Revenues and Gain-Loss" sheetId="3" r:id="rId3"/>
    <sheet name="Sheet4" sheetId="4" r:id="rId4"/>
  </sheets>
  <definedNames>
    <definedName name="_xlnm.Print_Area" localSheetId="1">'M&amp;O'!$A$1:$J$24</definedName>
    <definedName name="_xlnm.Print_Area" localSheetId="2">'Revenues and Gain-Loss'!$A$1:$J$20</definedName>
    <definedName name="_xlnm.Print_Area" localSheetId="0">'Services'!$A$1:$L$38</definedName>
  </definedNames>
  <calcPr fullCalcOnLoad="1"/>
</workbook>
</file>

<file path=xl/sharedStrings.xml><?xml version="1.0" encoding="utf-8"?>
<sst xmlns="http://schemas.openxmlformats.org/spreadsheetml/2006/main" count="145" uniqueCount="99">
  <si>
    <t>Based upon</t>
  </si>
  <si>
    <t>unit building</t>
  </si>
  <si>
    <t xml:space="preserve">with </t>
  </si>
  <si>
    <t>Personnel</t>
  </si>
  <si>
    <t>Title</t>
  </si>
  <si>
    <t># FTE</t>
  </si>
  <si>
    <t>Salary</t>
  </si>
  <si>
    <t>Total Cost</t>
  </si>
  <si>
    <t>Department Manager</t>
  </si>
  <si>
    <t>Program Director</t>
  </si>
  <si>
    <t>Case Managers</t>
  </si>
  <si>
    <t>CASAC</t>
  </si>
  <si>
    <t>Subtotal</t>
  </si>
  <si>
    <t>Fringe @ 28%</t>
  </si>
  <si>
    <t>SUBTOTAL PERSONNEL</t>
  </si>
  <si>
    <t>OTPS</t>
  </si>
  <si>
    <t>Office/Program Supplies @ $1100/person</t>
  </si>
  <si>
    <t>Recreation/Food</t>
  </si>
  <si>
    <t>Communications/Telephone</t>
  </si>
  <si>
    <t>Printing, Photocopying, Postage</t>
  </si>
  <si>
    <t>Staff Training/Conference/Dues</t>
  </si>
  <si>
    <t>TOTAL PERSONNEL AND OTPS</t>
  </si>
  <si>
    <t>GRAND TOTAL</t>
  </si>
  <si>
    <t>Per unit cost</t>
  </si>
  <si>
    <t>Supportive Housing with Re-entry Units</t>
  </si>
  <si>
    <t>units for homeless people with mental illness/MICA</t>
  </si>
  <si>
    <t>units for low-income community referrals</t>
  </si>
  <si>
    <t>Forensic Peer Counselor</t>
  </si>
  <si>
    <t>Maintenance and Operating Cost Assumptions</t>
  </si>
  <si>
    <t>Per Year</t>
  </si>
  <si>
    <t>Supplies/Cleaning/Exterminating</t>
  </si>
  <si>
    <t>per unit</t>
  </si>
  <si>
    <t>Heating Fuel</t>
  </si>
  <si>
    <t>per sq. ft.</t>
  </si>
  <si>
    <t>Gas/Electric (master meter)</t>
  </si>
  <si>
    <t>Repairs and Repair Contracts</t>
  </si>
  <si>
    <t>Painting/Decorating</t>
  </si>
  <si>
    <t>+ $120/hall</t>
  </si>
  <si>
    <t>Maintenance Salaries</t>
  </si>
  <si>
    <t>Security</t>
  </si>
  <si>
    <t>per shift</t>
  </si>
  <si>
    <t>hour</t>
  </si>
  <si>
    <t>Elevator</t>
  </si>
  <si>
    <t>per cab</t>
  </si>
  <si>
    <t>Management Fee</t>
  </si>
  <si>
    <t>of EGI</t>
  </si>
  <si>
    <t>Water and Sewer</t>
  </si>
  <si>
    <t>Fire/Liability Insurance</t>
  </si>
  <si>
    <t>per $100 mtge.</t>
  </si>
  <si>
    <t>Replacement Reserve</t>
  </si>
  <si>
    <t>Real Estate Taxes</t>
  </si>
  <si>
    <t>420c</t>
  </si>
  <si>
    <t>exemption</t>
  </si>
  <si>
    <t>Total Annual M &amp; O Costs</t>
  </si>
  <si>
    <t>Total Monthly M &amp; O Costs</t>
  </si>
  <si>
    <t>Per Unit/Year</t>
  </si>
  <si>
    <t>square feet</t>
  </si>
  <si>
    <t>NY/NY III Contract</t>
  </si>
  <si>
    <t>Re-entry Supportive Housing Contract</t>
  </si>
  <si>
    <t>Per Unit Rate</t>
  </si>
  <si>
    <t>Revenue</t>
  </si>
  <si>
    <t>SRO Support Subsidy</t>
  </si>
  <si>
    <t>Total</t>
  </si>
  <si>
    <t>Operating Income</t>
  </si>
  <si>
    <t>assumes 5% vacancy allowance</t>
  </si>
  <si>
    <t>Special Needs Units Tenant Rent</t>
  </si>
  <si>
    <t>General Low-Income Unit Tenant Rent</t>
  </si>
  <si>
    <t>Shelter Plus Care or Section 8</t>
  </si>
  <si>
    <t>unit/month</t>
  </si>
  <si>
    <t>unit/year</t>
  </si>
  <si>
    <t>Revenue Assumptions</t>
  </si>
  <si>
    <t>Supportive Services</t>
  </si>
  <si>
    <t>Service Cost Assumptions</t>
  </si>
  <si>
    <t>Units</t>
  </si>
  <si>
    <t>NY/NY III</t>
  </si>
  <si>
    <t>units for reentry</t>
  </si>
  <si>
    <t>Property Management Salaries</t>
  </si>
  <si>
    <t>1 FTE</t>
  </si>
  <si>
    <t>28% benefits</t>
  </si>
  <si>
    <t>28% benefits; Assistant Dir. Property Mngr</t>
  </si>
  <si>
    <t>Super+Porter</t>
  </si>
  <si>
    <t>Specialty Services</t>
  </si>
  <si>
    <t>Specialty Services (Psychiatry, RN, CASAC, Voc.)</t>
  </si>
  <si>
    <t>RN</t>
  </si>
  <si>
    <t xml:space="preserve">Psychiatrist </t>
  </si>
  <si>
    <t>Vocational Counseling</t>
  </si>
  <si>
    <r>
      <t>Scenario 1</t>
    </r>
    <r>
      <rPr>
        <sz val="10"/>
        <rFont val="Arial"/>
        <family val="2"/>
      </rPr>
      <t xml:space="preserve"> - Wellness Model</t>
    </r>
  </si>
  <si>
    <r>
      <t>Scenario 2</t>
    </r>
    <r>
      <rPr>
        <sz val="10"/>
        <rFont val="Arial"/>
        <family val="2"/>
      </rPr>
      <t xml:space="preserve"> - Substance Abuse/Employment Model</t>
    </r>
  </si>
  <si>
    <t>Travel</t>
  </si>
  <si>
    <t>Client Stipends</t>
  </si>
  <si>
    <t xml:space="preserve">Reentry </t>
  </si>
  <si>
    <t>Supportive Services Gain/(Loss)</t>
  </si>
  <si>
    <t>M&amp;O Gain/(Loss)</t>
  </si>
  <si>
    <t>Overhead @ 12%</t>
  </si>
  <si>
    <t>Auditing</t>
  </si>
  <si>
    <t>Legal</t>
  </si>
  <si>
    <t>No Section 8</t>
  </si>
  <si>
    <t>With Section 8</t>
  </si>
  <si>
    <t>Net Gain/(Loss)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</si>
</sst>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[Red]\(#,##0.0\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</numFmts>
  <fonts count="13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MS Sans Serif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2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15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38" fontId="0" fillId="0" borderId="0" xfId="15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5" fontId="0" fillId="0" borderId="0" xfId="0" applyNumberFormat="1" applyFont="1" applyBorder="1" applyAlignment="1" applyProtection="1">
      <alignment/>
      <protection locked="0"/>
    </xf>
    <xf numFmtId="44" fontId="0" fillId="0" borderId="0" xfId="17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5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37" fontId="6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/>
    </xf>
    <xf numFmtId="8" fontId="6" fillId="0" borderId="0" xfId="0" applyNumberFormat="1" applyFont="1" applyAlignment="1">
      <alignment/>
    </xf>
    <xf numFmtId="0" fontId="8" fillId="0" borderId="0" xfId="0" applyFont="1" applyBorder="1" applyAlignment="1" applyProtection="1">
      <alignment/>
      <protection/>
    </xf>
    <xf numFmtId="9" fontId="0" fillId="0" borderId="0" xfId="19" applyNumberFormat="1" applyFont="1" applyBorder="1" applyAlignment="1" applyProtection="1">
      <alignment/>
      <protection locked="0"/>
    </xf>
    <xf numFmtId="166" fontId="0" fillId="0" borderId="0" xfId="15" applyNumberFormat="1" applyFont="1" applyBorder="1" applyAlignment="1" applyProtection="1">
      <alignment/>
      <protection locked="0"/>
    </xf>
    <xf numFmtId="38" fontId="0" fillId="0" borderId="0" xfId="15" applyNumberFormat="1" applyFont="1" applyBorder="1" applyAlignment="1" applyProtection="1">
      <alignment horizontal="right"/>
      <protection locked="0"/>
    </xf>
    <xf numFmtId="10" fontId="9" fillId="0" borderId="0" xfId="19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5" fontId="4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5" fontId="11" fillId="0" borderId="0" xfId="0" applyNumberFormat="1" applyFont="1" applyBorder="1" applyAlignment="1" applyProtection="1" quotePrefix="1">
      <alignment/>
      <protection/>
    </xf>
    <xf numFmtId="0" fontId="2" fillId="0" borderId="0" xfId="0" applyFont="1" applyBorder="1" applyAlignment="1" applyProtection="1">
      <alignment horizontal="center"/>
      <protection/>
    </xf>
    <xf numFmtId="164" fontId="0" fillId="0" borderId="2" xfId="15" applyNumberFormat="1" applyFont="1" applyBorder="1" applyAlignment="1">
      <alignment/>
    </xf>
    <xf numFmtId="169" fontId="0" fillId="0" borderId="0" xfId="17" applyNumberFormat="1" applyAlignment="1">
      <alignment/>
    </xf>
    <xf numFmtId="169" fontId="0" fillId="0" borderId="1" xfId="17" applyNumberFormat="1" applyBorder="1" applyAlignment="1">
      <alignment/>
    </xf>
    <xf numFmtId="169" fontId="4" fillId="0" borderId="0" xfId="17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" xfId="0" applyBorder="1" applyAlignment="1" quotePrefix="1">
      <alignment/>
    </xf>
    <xf numFmtId="3" fontId="0" fillId="0" borderId="1" xfId="0" applyNumberFormat="1" applyBorder="1" applyAlignment="1" quotePrefix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0" zoomScaleNormal="80" workbookViewId="0" topLeftCell="A1">
      <selection activeCell="G17" sqref="G17"/>
    </sheetView>
  </sheetViews>
  <sheetFormatPr defaultColWidth="9.140625" defaultRowHeight="12.75"/>
  <cols>
    <col min="1" max="1" width="25.8515625" style="0" customWidth="1"/>
    <col min="4" max="4" width="9.28125" style="0" bestFit="1" customWidth="1"/>
    <col min="6" max="6" width="9.57421875" style="0" bestFit="1" customWidth="1"/>
    <col min="7" max="7" width="10.421875" style="0" bestFit="1" customWidth="1"/>
    <col min="8" max="8" width="12.57421875" style="0" customWidth="1"/>
  </cols>
  <sheetData>
    <row r="1" spans="1:6" ht="18">
      <c r="A1" s="1" t="s">
        <v>72</v>
      </c>
      <c r="D1" s="2"/>
      <c r="F1" s="2"/>
    </row>
    <row r="2" spans="4:6" ht="12.75">
      <c r="D2" s="2"/>
      <c r="F2" s="2"/>
    </row>
    <row r="3" spans="1:8" ht="12.75">
      <c r="A3" t="s">
        <v>24</v>
      </c>
      <c r="D3" s="2"/>
      <c r="F3" s="3" t="s">
        <v>0</v>
      </c>
      <c r="G3" s="4">
        <v>60</v>
      </c>
      <c r="H3" t="s">
        <v>1</v>
      </c>
    </row>
    <row r="4" spans="4:8" ht="12.75">
      <c r="D4" s="2"/>
      <c r="F4" s="3" t="s">
        <v>2</v>
      </c>
      <c r="G4" s="5">
        <v>26</v>
      </c>
      <c r="H4" t="s">
        <v>25</v>
      </c>
    </row>
    <row r="5" spans="4:8" ht="12.75">
      <c r="D5" s="2"/>
      <c r="F5" s="2"/>
      <c r="G5" s="5">
        <v>10</v>
      </c>
      <c r="H5" t="s">
        <v>75</v>
      </c>
    </row>
    <row r="6" spans="4:8" ht="12.75">
      <c r="D6" s="2"/>
      <c r="F6" s="2"/>
      <c r="G6" s="4">
        <v>24</v>
      </c>
      <c r="H6" t="s">
        <v>26</v>
      </c>
    </row>
    <row r="7" spans="4:8" ht="12.75">
      <c r="D7" s="2"/>
      <c r="F7" s="2"/>
      <c r="G7" s="54">
        <f>G3*500</f>
        <v>30000</v>
      </c>
      <c r="H7" t="s">
        <v>56</v>
      </c>
    </row>
    <row r="8" spans="1:6" ht="12.75">
      <c r="A8" s="6" t="s">
        <v>3</v>
      </c>
      <c r="D8" s="2"/>
      <c r="F8" s="2"/>
    </row>
    <row r="9" spans="1:8" ht="12.75">
      <c r="A9" s="7" t="s">
        <v>4</v>
      </c>
      <c r="B9" s="7"/>
      <c r="C9" s="7"/>
      <c r="D9" s="8" t="s">
        <v>5</v>
      </c>
      <c r="E9" s="7"/>
      <c r="F9" s="8" t="s">
        <v>6</v>
      </c>
      <c r="G9" s="7"/>
      <c r="H9" s="8" t="s">
        <v>7</v>
      </c>
    </row>
    <row r="10" spans="1:8" ht="12.75">
      <c r="A10" t="s">
        <v>8</v>
      </c>
      <c r="D10" s="2">
        <v>0.15</v>
      </c>
      <c r="F10" s="9">
        <v>87000</v>
      </c>
      <c r="H10" s="9">
        <f>F10*D10</f>
        <v>13050</v>
      </c>
    </row>
    <row r="11" spans="1:8" ht="12.75">
      <c r="A11" t="s">
        <v>9</v>
      </c>
      <c r="D11" s="10">
        <v>1</v>
      </c>
      <c r="F11" s="9">
        <v>65000</v>
      </c>
      <c r="H11" s="9">
        <f>F11*D11</f>
        <v>65000</v>
      </c>
    </row>
    <row r="12" spans="1:8" ht="12.75">
      <c r="A12" t="s">
        <v>10</v>
      </c>
      <c r="D12" s="10">
        <v>3</v>
      </c>
      <c r="F12" s="9">
        <v>37500</v>
      </c>
      <c r="H12" s="9">
        <f>F12*D12</f>
        <v>112500</v>
      </c>
    </row>
    <row r="13" spans="1:8" ht="12.75">
      <c r="A13" t="s">
        <v>27</v>
      </c>
      <c r="D13" s="10">
        <v>1</v>
      </c>
      <c r="F13" s="9">
        <v>22000</v>
      </c>
      <c r="H13" s="9">
        <f>F13*D13</f>
        <v>22000</v>
      </c>
    </row>
    <row r="14" spans="1:8" ht="12.75">
      <c r="A14" t="s">
        <v>82</v>
      </c>
      <c r="D14" s="10">
        <v>1</v>
      </c>
      <c r="F14" s="9">
        <v>68750</v>
      </c>
      <c r="H14" s="9">
        <f>F14*D14</f>
        <v>68750</v>
      </c>
    </row>
    <row r="15" spans="1:8" ht="12.75">
      <c r="A15" s="4"/>
      <c r="B15" s="4"/>
      <c r="C15" s="4"/>
      <c r="D15" s="11"/>
      <c r="E15" s="60"/>
      <c r="F15" s="12"/>
      <c r="G15" s="61"/>
      <c r="H15" s="12"/>
    </row>
    <row r="16" spans="1:8" ht="12.75">
      <c r="A16" t="s">
        <v>12</v>
      </c>
      <c r="D16" s="10">
        <f>SUM(D10:D15)</f>
        <v>6.15</v>
      </c>
      <c r="F16" s="9"/>
      <c r="H16" s="13">
        <f>SUM(H10:H15)</f>
        <v>281300</v>
      </c>
    </row>
    <row r="17" spans="1:8" ht="12.75">
      <c r="A17" s="4" t="s">
        <v>13</v>
      </c>
      <c r="B17" s="4"/>
      <c r="C17" s="4"/>
      <c r="D17" s="14"/>
      <c r="E17" s="4"/>
      <c r="F17" s="14"/>
      <c r="G17" s="4"/>
      <c r="H17" s="15">
        <f>H16*0.28</f>
        <v>78764.00000000001</v>
      </c>
    </row>
    <row r="18" spans="1:8" ht="12.75">
      <c r="A18" t="s">
        <v>14</v>
      </c>
      <c r="D18" s="2"/>
      <c r="F18" s="2"/>
      <c r="H18" s="13">
        <f>SUM(H16:H17)</f>
        <v>360064</v>
      </c>
    </row>
    <row r="19" spans="4:8" ht="12.75">
      <c r="D19" s="2"/>
      <c r="F19" s="2"/>
      <c r="H19" s="16"/>
    </row>
    <row r="20" spans="4:8" ht="12.75">
      <c r="D20" s="2"/>
      <c r="F20" s="2"/>
      <c r="H20" s="2"/>
    </row>
    <row r="21" spans="1:8" ht="12.75">
      <c r="A21" s="6" t="s">
        <v>15</v>
      </c>
      <c r="D21" s="2"/>
      <c r="F21" s="2"/>
      <c r="H21" s="2"/>
    </row>
    <row r="22" spans="1:8" ht="12.75">
      <c r="A22" t="s">
        <v>16</v>
      </c>
      <c r="D22" s="10">
        <f>D16</f>
        <v>6.15</v>
      </c>
      <c r="F22" s="2"/>
      <c r="H22" s="9">
        <f>D22*1100</f>
        <v>6765</v>
      </c>
    </row>
    <row r="23" spans="1:8" ht="12.75">
      <c r="A23" t="s">
        <v>17</v>
      </c>
      <c r="D23" s="2"/>
      <c r="F23" s="2"/>
      <c r="H23" s="9">
        <v>7500</v>
      </c>
    </row>
    <row r="24" spans="1:8" ht="12.75">
      <c r="A24" t="s">
        <v>18</v>
      </c>
      <c r="D24" s="2"/>
      <c r="F24" s="2"/>
      <c r="H24" s="9">
        <v>5000</v>
      </c>
    </row>
    <row r="25" spans="1:8" ht="12.75">
      <c r="A25" t="s">
        <v>19</v>
      </c>
      <c r="D25" s="2"/>
      <c r="F25" s="2"/>
      <c r="H25" s="9">
        <v>4000</v>
      </c>
    </row>
    <row r="26" spans="1:8" ht="12.75">
      <c r="A26" t="s">
        <v>89</v>
      </c>
      <c r="D26" s="2"/>
      <c r="F26" s="2"/>
      <c r="H26" s="9">
        <v>5000</v>
      </c>
    </row>
    <row r="27" spans="1:10" ht="12.75">
      <c r="A27" t="s">
        <v>88</v>
      </c>
      <c r="D27" s="2"/>
      <c r="F27" s="2"/>
      <c r="H27" s="9">
        <v>5000</v>
      </c>
      <c r="I27">
        <f>H27/81</f>
        <v>61.72839506172839</v>
      </c>
      <c r="J27">
        <f>I27/12</f>
        <v>5.144032921810699</v>
      </c>
    </row>
    <row r="28" spans="1:8" ht="12.75">
      <c r="A28" s="4" t="s">
        <v>20</v>
      </c>
      <c r="B28" s="4"/>
      <c r="C28" s="4"/>
      <c r="D28" s="14"/>
      <c r="E28" s="4"/>
      <c r="F28" s="14"/>
      <c r="G28" s="4"/>
      <c r="H28" s="12">
        <v>2000</v>
      </c>
    </row>
    <row r="29" spans="1:8" ht="12.75">
      <c r="A29" t="s">
        <v>12</v>
      </c>
      <c r="D29" s="2"/>
      <c r="F29" s="2"/>
      <c r="H29" s="13">
        <f>SUM(H22:H28)</f>
        <v>35265</v>
      </c>
    </row>
    <row r="30" spans="1:8" ht="13.5" thickBot="1">
      <c r="A30" s="17"/>
      <c r="B30" s="17"/>
      <c r="C30" s="17"/>
      <c r="D30" s="18"/>
      <c r="E30" s="17"/>
      <c r="F30" s="18"/>
      <c r="G30" s="17"/>
      <c r="H30" s="18"/>
    </row>
    <row r="31" spans="1:8" ht="13.5" thickTop="1">
      <c r="A31" s="19"/>
      <c r="B31" s="19"/>
      <c r="C31" s="19"/>
      <c r="D31" s="20"/>
      <c r="E31" s="19"/>
      <c r="F31" s="20"/>
      <c r="G31" s="19"/>
      <c r="H31" s="20"/>
    </row>
    <row r="32" spans="1:8" ht="12.75">
      <c r="A32" t="s">
        <v>21</v>
      </c>
      <c r="D32" s="2"/>
      <c r="F32" s="2"/>
      <c r="H32" s="13">
        <f>H29+H18</f>
        <v>395329</v>
      </c>
    </row>
    <row r="33" spans="4:8" ht="12.75">
      <c r="D33" s="2"/>
      <c r="F33" s="2"/>
      <c r="H33" s="2"/>
    </row>
    <row r="34" spans="1:8" ht="12.75">
      <c r="A34" t="s">
        <v>93</v>
      </c>
      <c r="D34" s="2"/>
      <c r="F34" s="2"/>
      <c r="H34" s="16">
        <f>H32*0.12</f>
        <v>47439.479999999996</v>
      </c>
    </row>
    <row r="35" spans="4:8" ht="12.75">
      <c r="D35" s="2"/>
      <c r="F35" s="2"/>
      <c r="H35" s="2"/>
    </row>
    <row r="36" spans="1:10" ht="12.75">
      <c r="A36" s="21" t="s">
        <v>22</v>
      </c>
      <c r="B36" s="21"/>
      <c r="C36" s="21"/>
      <c r="D36" s="22"/>
      <c r="E36" s="21"/>
      <c r="F36" s="22"/>
      <c r="G36" s="21"/>
      <c r="H36" s="23">
        <f>H32+H34</f>
        <v>442768.48</v>
      </c>
      <c r="I36" s="21"/>
      <c r="J36" s="21"/>
    </row>
    <row r="37" spans="4:8" ht="12.75">
      <c r="D37" s="2"/>
      <c r="F37" s="2"/>
      <c r="H37" s="2"/>
    </row>
    <row r="38" spans="1:10" ht="12.75">
      <c r="A38" s="21" t="s">
        <v>23</v>
      </c>
      <c r="B38" s="21"/>
      <c r="C38" s="21"/>
      <c r="D38" s="22"/>
      <c r="E38" s="21"/>
      <c r="F38" s="22"/>
      <c r="G38" s="21"/>
      <c r="H38" s="23">
        <f>H36/36</f>
        <v>12299.124444444444</v>
      </c>
      <c r="I38" s="21"/>
      <c r="J38" s="21"/>
    </row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H8" sqref="H8"/>
    </sheetView>
  </sheetViews>
  <sheetFormatPr defaultColWidth="9.140625" defaultRowHeight="12.75"/>
  <cols>
    <col min="8" max="8" width="10.28125" style="0" customWidth="1"/>
  </cols>
  <sheetData>
    <row r="1" ht="18">
      <c r="A1" s="1" t="s">
        <v>28</v>
      </c>
    </row>
    <row r="2" spans="1:9" ht="12.75">
      <c r="A2" s="24"/>
      <c r="B2" s="24"/>
      <c r="C2" s="24"/>
      <c r="D2" s="24"/>
      <c r="E2" s="24"/>
      <c r="F2" s="24"/>
      <c r="H2" s="53" t="s">
        <v>29</v>
      </c>
      <c r="I2" s="24"/>
    </row>
    <row r="3" spans="1:10" ht="12.75">
      <c r="A3" s="25" t="s">
        <v>30</v>
      </c>
      <c r="B3" s="26"/>
      <c r="C3" s="25"/>
      <c r="D3" s="25"/>
      <c r="E3" s="27">
        <v>200</v>
      </c>
      <c r="F3" s="28" t="s">
        <v>31</v>
      </c>
      <c r="G3" s="29"/>
      <c r="H3" s="30">
        <f>E3*Services!$G$3</f>
        <v>12000</v>
      </c>
      <c r="I3" s="25"/>
      <c r="J3" s="26"/>
    </row>
    <row r="4" spans="1:10" ht="12.75">
      <c r="A4" s="25" t="s">
        <v>32</v>
      </c>
      <c r="B4" s="26"/>
      <c r="C4" s="25"/>
      <c r="D4" s="25"/>
      <c r="E4" s="31">
        <v>0.9</v>
      </c>
      <c r="F4" s="28" t="s">
        <v>33</v>
      </c>
      <c r="G4" s="29"/>
      <c r="H4" s="32">
        <f>E4*Services!$G$7</f>
        <v>27000</v>
      </c>
      <c r="I4" s="33"/>
      <c r="J4" s="26"/>
    </row>
    <row r="5" spans="1:10" ht="12.75">
      <c r="A5" s="25" t="s">
        <v>34</v>
      </c>
      <c r="B5" s="26"/>
      <c r="C5" s="25"/>
      <c r="D5" s="25"/>
      <c r="E5" s="31">
        <v>0.9</v>
      </c>
      <c r="F5" s="28" t="s">
        <v>33</v>
      </c>
      <c r="G5" s="29"/>
      <c r="H5" s="32">
        <f>E5*Services!$G$7</f>
        <v>27000</v>
      </c>
      <c r="I5" s="25"/>
      <c r="J5" s="26"/>
    </row>
    <row r="6" spans="1:10" ht="12.75">
      <c r="A6" s="25" t="s">
        <v>35</v>
      </c>
      <c r="B6" s="26"/>
      <c r="C6" s="25"/>
      <c r="D6" s="25"/>
      <c r="E6" s="27">
        <v>250</v>
      </c>
      <c r="F6" s="28" t="s">
        <v>31</v>
      </c>
      <c r="G6" s="29"/>
      <c r="H6" s="30">
        <f>E6*Services!$G$3</f>
        <v>15000</v>
      </c>
      <c r="I6" s="33"/>
      <c r="J6" s="26"/>
    </row>
    <row r="7" spans="1:10" ht="12.75">
      <c r="A7" s="25" t="s">
        <v>95</v>
      </c>
      <c r="B7" s="25"/>
      <c r="C7" s="34"/>
      <c r="D7" s="25"/>
      <c r="E7" s="27"/>
      <c r="F7" s="28"/>
      <c r="G7" s="29"/>
      <c r="H7" s="30">
        <v>5000</v>
      </c>
      <c r="I7" s="33"/>
      <c r="J7" s="26"/>
    </row>
    <row r="8" spans="1:10" ht="12.75">
      <c r="A8" s="59" t="s">
        <v>94</v>
      </c>
      <c r="B8" s="25"/>
      <c r="C8" s="34"/>
      <c r="D8" s="25"/>
      <c r="E8" s="27"/>
      <c r="F8" s="28"/>
      <c r="G8" s="29"/>
      <c r="H8" s="30">
        <v>8000</v>
      </c>
      <c r="I8" s="33"/>
      <c r="J8" s="26"/>
    </row>
    <row r="9" spans="1:10" ht="12.75">
      <c r="A9" s="35" t="s">
        <v>36</v>
      </c>
      <c r="B9" s="25"/>
      <c r="C9" s="36"/>
      <c r="D9" s="25"/>
      <c r="E9" s="27">
        <v>35</v>
      </c>
      <c r="F9" s="28" t="s">
        <v>31</v>
      </c>
      <c r="G9" s="37" t="s">
        <v>37</v>
      </c>
      <c r="H9" s="30">
        <f>E9*Services!$G$3+(120*6)</f>
        <v>2820</v>
      </c>
      <c r="I9" s="25"/>
      <c r="J9" s="26"/>
    </row>
    <row r="10" spans="1:10" ht="12.75">
      <c r="A10" s="25" t="s">
        <v>38</v>
      </c>
      <c r="B10" s="26"/>
      <c r="C10" s="38"/>
      <c r="D10" s="36"/>
      <c r="E10" s="27">
        <v>45000</v>
      </c>
      <c r="F10" s="39" t="s">
        <v>80</v>
      </c>
      <c r="G10" s="29"/>
      <c r="H10" s="32">
        <f>E10*1.28</f>
        <v>57600</v>
      </c>
      <c r="I10" s="29" t="s">
        <v>78</v>
      </c>
      <c r="J10" s="29"/>
    </row>
    <row r="11" spans="1:11" ht="12.75">
      <c r="A11" s="25" t="s">
        <v>39</v>
      </c>
      <c r="B11" s="26"/>
      <c r="C11" s="40"/>
      <c r="D11" s="36"/>
      <c r="E11" s="27">
        <v>22000</v>
      </c>
      <c r="F11" s="28" t="s">
        <v>40</v>
      </c>
      <c r="G11" s="29"/>
      <c r="H11" s="32">
        <f>E11*5*1.28</f>
        <v>140800</v>
      </c>
      <c r="I11" s="41">
        <v>9.5</v>
      </c>
      <c r="J11" s="29" t="s">
        <v>41</v>
      </c>
      <c r="K11">
        <f>E11*5*1.28</f>
        <v>140800</v>
      </c>
    </row>
    <row r="12" spans="1:10" ht="12.75">
      <c r="A12" s="25" t="s">
        <v>42</v>
      </c>
      <c r="B12" s="26"/>
      <c r="C12" s="40"/>
      <c r="D12" s="36"/>
      <c r="E12" s="27">
        <v>4200</v>
      </c>
      <c r="F12" s="28" t="s">
        <v>43</v>
      </c>
      <c r="G12" s="29"/>
      <c r="H12" s="32">
        <f>E12*1</f>
        <v>4200</v>
      </c>
      <c r="I12" s="25"/>
      <c r="J12" s="26"/>
    </row>
    <row r="13" spans="1:10" ht="12.75">
      <c r="A13" s="25" t="s">
        <v>44</v>
      </c>
      <c r="B13" s="25"/>
      <c r="C13" s="34"/>
      <c r="D13" s="42"/>
      <c r="E13" s="43">
        <v>0.08</v>
      </c>
      <c r="F13" s="28" t="s">
        <v>45</v>
      </c>
      <c r="G13" s="29"/>
      <c r="H13" s="32">
        <f>E13*'Revenues and Gain-Loss'!G20</f>
        <v>32376.32</v>
      </c>
      <c r="I13" s="33"/>
      <c r="J13" s="26"/>
    </row>
    <row r="14" spans="1:10" ht="12.75">
      <c r="A14" s="25" t="s">
        <v>46</v>
      </c>
      <c r="B14" s="25"/>
      <c r="C14" s="25"/>
      <c r="D14" s="25"/>
      <c r="E14" s="27">
        <v>300</v>
      </c>
      <c r="F14" s="28" t="s">
        <v>31</v>
      </c>
      <c r="G14" s="29"/>
      <c r="H14" s="30">
        <f>E14*Services!$G$3</f>
        <v>18000</v>
      </c>
      <c r="I14" s="33"/>
      <c r="J14" s="26"/>
    </row>
    <row r="15" spans="1:10" ht="12.75">
      <c r="A15" s="25" t="s">
        <v>47</v>
      </c>
      <c r="B15" s="26"/>
      <c r="C15" s="26"/>
      <c r="D15" s="25"/>
      <c r="E15" s="44">
        <v>0.9</v>
      </c>
      <c r="F15" s="28" t="s">
        <v>48</v>
      </c>
      <c r="G15" s="29"/>
      <c r="H15" s="32">
        <v>41012</v>
      </c>
      <c r="I15" s="25"/>
      <c r="J15" s="26"/>
    </row>
    <row r="16" spans="1:10" ht="12.75">
      <c r="A16" s="25" t="s">
        <v>49</v>
      </c>
      <c r="B16" s="26"/>
      <c r="C16" s="25"/>
      <c r="D16" s="25"/>
      <c r="E16" s="27">
        <v>250</v>
      </c>
      <c r="F16" s="28" t="s">
        <v>31</v>
      </c>
      <c r="G16" s="29"/>
      <c r="H16" s="30">
        <f>E16*Services!$G$3</f>
        <v>15000</v>
      </c>
      <c r="I16" s="25"/>
      <c r="J16" s="26"/>
    </row>
    <row r="17" spans="1:10" ht="12.75">
      <c r="A17" s="59" t="s">
        <v>76</v>
      </c>
      <c r="B17" s="26"/>
      <c r="C17" s="25"/>
      <c r="D17" s="25"/>
      <c r="E17" s="27">
        <v>40000</v>
      </c>
      <c r="F17" s="28" t="s">
        <v>77</v>
      </c>
      <c r="G17" s="29"/>
      <c r="H17" s="30">
        <f>E17*1.28</f>
        <v>51200</v>
      </c>
      <c r="I17" s="25" t="s">
        <v>79</v>
      </c>
      <c r="J17" s="26"/>
    </row>
    <row r="18" spans="1:10" ht="12.75">
      <c r="A18" s="25" t="s">
        <v>50</v>
      </c>
      <c r="B18" s="26"/>
      <c r="C18" s="25"/>
      <c r="D18" s="25"/>
      <c r="E18" s="45" t="s">
        <v>51</v>
      </c>
      <c r="F18" s="28" t="s">
        <v>52</v>
      </c>
      <c r="G18" s="29"/>
      <c r="H18" s="32">
        <v>0</v>
      </c>
      <c r="I18" s="25"/>
      <c r="J18" s="26"/>
    </row>
    <row r="19" spans="1:10" ht="12.75">
      <c r="A19" s="25"/>
      <c r="B19" s="25"/>
      <c r="C19" s="25"/>
      <c r="D19" s="25"/>
      <c r="E19" s="46"/>
      <c r="F19" s="28"/>
      <c r="G19" s="26"/>
      <c r="H19" s="47"/>
      <c r="I19" s="25"/>
      <c r="J19" s="26"/>
    </row>
    <row r="20" spans="1:10" ht="12.75">
      <c r="A20" s="48" t="s">
        <v>53</v>
      </c>
      <c r="B20" s="26"/>
      <c r="C20" s="25"/>
      <c r="D20" s="25"/>
      <c r="E20" s="33"/>
      <c r="F20" s="28"/>
      <c r="G20" s="26"/>
      <c r="H20" s="49">
        <f>SUM(H3:H18)</f>
        <v>457008.32</v>
      </c>
      <c r="I20" s="33"/>
      <c r="J20" s="26"/>
    </row>
    <row r="21" spans="1:10" ht="12.75">
      <c r="A21" s="48"/>
      <c r="B21" s="26"/>
      <c r="C21" s="25"/>
      <c r="D21" s="25"/>
      <c r="E21" s="50"/>
      <c r="F21" s="50"/>
      <c r="G21" s="26"/>
      <c r="H21" s="50"/>
      <c r="I21" s="25"/>
      <c r="J21" s="26"/>
    </row>
    <row r="22" spans="1:10" ht="12.75">
      <c r="A22" s="50" t="s">
        <v>54</v>
      </c>
      <c r="B22" s="26"/>
      <c r="C22" s="25"/>
      <c r="D22" s="25"/>
      <c r="E22" s="33"/>
      <c r="F22" s="28"/>
      <c r="G22" s="26"/>
      <c r="H22" s="33">
        <f>SUM(H3:H5)</f>
        <v>66000</v>
      </c>
      <c r="I22" s="25"/>
      <c r="J22" s="26"/>
    </row>
    <row r="23" spans="1:10" ht="12.75">
      <c r="A23" s="25"/>
      <c r="B23" s="50"/>
      <c r="C23" s="25"/>
      <c r="D23" s="25"/>
      <c r="E23" s="25"/>
      <c r="F23" s="26"/>
      <c r="G23" s="26"/>
      <c r="H23" s="51"/>
      <c r="I23" s="25"/>
      <c r="J23" s="26"/>
    </row>
    <row r="24" spans="1:10" ht="12.75">
      <c r="A24" s="25" t="s">
        <v>55</v>
      </c>
      <c r="B24" s="25"/>
      <c r="C24" s="25"/>
      <c r="D24" s="25"/>
      <c r="E24" s="25"/>
      <c r="F24" s="33"/>
      <c r="G24" s="33"/>
      <c r="H24" s="52">
        <f>H20/Services!G3</f>
        <v>7616.805333333334</v>
      </c>
      <c r="I24" s="25"/>
      <c r="J24" s="26"/>
    </row>
    <row r="25" spans="1:10" ht="12.7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2.75">
      <c r="A26" s="26"/>
      <c r="B26" s="26"/>
      <c r="C26" s="26"/>
      <c r="D26" s="26"/>
      <c r="E26" s="26"/>
      <c r="F26" s="26"/>
      <c r="G26" s="26"/>
      <c r="H26" s="58">
        <f>H24/12</f>
        <v>634.7337777777778</v>
      </c>
      <c r="I26" s="26"/>
      <c r="J26" s="26"/>
    </row>
    <row r="27" spans="1:10" ht="12.75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0" zoomScaleNormal="80" workbookViewId="0" topLeftCell="A1">
      <selection activeCell="N18" sqref="N18"/>
    </sheetView>
  </sheetViews>
  <sheetFormatPr defaultColWidth="9.140625" defaultRowHeight="12.75"/>
  <cols>
    <col min="1" max="1" width="24.421875" style="0" customWidth="1"/>
    <col min="2" max="2" width="11.421875" style="0" customWidth="1"/>
    <col min="3" max="3" width="11.28125" style="55" bestFit="1" customWidth="1"/>
    <col min="4" max="4" width="12.140625" style="0" bestFit="1" customWidth="1"/>
    <col min="5" max="5" width="12.140625" style="0" customWidth="1"/>
    <col min="7" max="7" width="12.28125" style="55" bestFit="1" customWidth="1"/>
  </cols>
  <sheetData>
    <row r="1" ht="18">
      <c r="A1" s="1" t="s">
        <v>70</v>
      </c>
    </row>
    <row r="2" ht="18">
      <c r="A2" s="1"/>
    </row>
    <row r="3" ht="12.75">
      <c r="A3" s="6" t="s">
        <v>96</v>
      </c>
    </row>
    <row r="4" spans="1:5" ht="18">
      <c r="A4" s="1"/>
      <c r="D4" t="s">
        <v>74</v>
      </c>
      <c r="E4" s="55">
        <v>14888</v>
      </c>
    </row>
    <row r="5" spans="4:5" ht="12.75">
      <c r="D5" s="21" t="s">
        <v>90</v>
      </c>
      <c r="E5" s="57">
        <v>18000</v>
      </c>
    </row>
    <row r="6" ht="12.75">
      <c r="A6" s="6" t="s">
        <v>71</v>
      </c>
    </row>
    <row r="7" spans="3:7" ht="12.75">
      <c r="C7" s="55" t="s">
        <v>59</v>
      </c>
      <c r="E7" t="s">
        <v>73</v>
      </c>
      <c r="G7" s="55" t="s">
        <v>60</v>
      </c>
    </row>
    <row r="8" spans="1:7" ht="12.75">
      <c r="A8" t="s">
        <v>57</v>
      </c>
      <c r="C8" s="55">
        <f>E4-C17</f>
        <v>8388</v>
      </c>
      <c r="E8">
        <v>26</v>
      </c>
      <c r="G8" s="55">
        <f>C8*E8</f>
        <v>218088</v>
      </c>
    </row>
    <row r="9" spans="1:7" ht="12.75">
      <c r="A9" t="s">
        <v>58</v>
      </c>
      <c r="C9" s="55">
        <f>E5-C18</f>
        <v>10500</v>
      </c>
      <c r="E9">
        <v>10</v>
      </c>
      <c r="G9" s="55">
        <f>C9*E9</f>
        <v>105000</v>
      </c>
    </row>
    <row r="10" spans="1:7" ht="12.75">
      <c r="A10" s="4" t="s">
        <v>61</v>
      </c>
      <c r="B10" s="4"/>
      <c r="C10" s="56">
        <v>180</v>
      </c>
      <c r="D10" s="4" t="s">
        <v>68</v>
      </c>
      <c r="E10" s="4">
        <v>60</v>
      </c>
      <c r="F10" s="4"/>
      <c r="G10" s="56">
        <f>180*E10*12</f>
        <v>129600</v>
      </c>
    </row>
    <row r="11" spans="1:7" s="21" customFormat="1" ht="12.75">
      <c r="A11" s="21" t="s">
        <v>62</v>
      </c>
      <c r="C11" s="57"/>
      <c r="G11" s="57">
        <f>SUM(G8:G10)</f>
        <v>452688</v>
      </c>
    </row>
    <row r="13" ht="12.75">
      <c r="A13" s="6" t="s">
        <v>63</v>
      </c>
    </row>
    <row r="14" ht="12.75">
      <c r="E14" t="s">
        <v>73</v>
      </c>
    </row>
    <row r="15" spans="1:8" ht="12.75">
      <c r="A15" t="s">
        <v>65</v>
      </c>
      <c r="C15" s="55">
        <v>215</v>
      </c>
      <c r="D15" t="s">
        <v>68</v>
      </c>
      <c r="E15">
        <v>36</v>
      </c>
      <c r="G15" s="55">
        <f>C15*E15*12*0.8</f>
        <v>74304</v>
      </c>
      <c r="H15" t="s">
        <v>64</v>
      </c>
    </row>
    <row r="16" spans="1:8" ht="12.75">
      <c r="A16" t="s">
        <v>66</v>
      </c>
      <c r="C16" s="55">
        <v>375</v>
      </c>
      <c r="D16" t="s">
        <v>68</v>
      </c>
      <c r="E16">
        <v>24</v>
      </c>
      <c r="G16" s="55">
        <f>C16*E16*12*0.8</f>
        <v>86400</v>
      </c>
      <c r="H16" t="s">
        <v>64</v>
      </c>
    </row>
    <row r="17" spans="1:7" ht="12.75">
      <c r="A17" t="s">
        <v>74</v>
      </c>
      <c r="C17" s="55">
        <v>6500</v>
      </c>
      <c r="D17" t="s">
        <v>69</v>
      </c>
      <c r="E17">
        <v>26</v>
      </c>
      <c r="G17" s="55">
        <f>C17*E17</f>
        <v>169000</v>
      </c>
    </row>
    <row r="18" spans="1:7" ht="12.75">
      <c r="A18" t="s">
        <v>58</v>
      </c>
      <c r="C18" s="55">
        <v>7500</v>
      </c>
      <c r="D18" t="s">
        <v>69</v>
      </c>
      <c r="E18">
        <v>10</v>
      </c>
      <c r="G18" s="55">
        <f>C18*E18</f>
        <v>75000</v>
      </c>
    </row>
    <row r="19" spans="1:8" ht="12.75">
      <c r="A19" s="4" t="s">
        <v>67</v>
      </c>
      <c r="B19" s="4"/>
      <c r="C19" s="56">
        <v>600</v>
      </c>
      <c r="D19" s="4" t="s">
        <v>68</v>
      </c>
      <c r="E19" s="4">
        <v>0</v>
      </c>
      <c r="F19" s="4"/>
      <c r="G19" s="56">
        <f>C19*E19*12*0.8</f>
        <v>0</v>
      </c>
      <c r="H19" t="s">
        <v>64</v>
      </c>
    </row>
    <row r="20" spans="1:7" s="21" customFormat="1" ht="12.75">
      <c r="A20" s="21" t="s">
        <v>62</v>
      </c>
      <c r="C20" s="57"/>
      <c r="G20" s="57">
        <f>SUM(G15:G19)</f>
        <v>404704</v>
      </c>
    </row>
    <row r="23" spans="1:7" ht="12.75">
      <c r="A23" t="s">
        <v>91</v>
      </c>
      <c r="G23" s="55">
        <f>G11-Services!H36</f>
        <v>9919.520000000019</v>
      </c>
    </row>
    <row r="24" spans="1:7" ht="12.75">
      <c r="A24" t="s">
        <v>92</v>
      </c>
      <c r="G24" s="55">
        <f>G20-'M&amp;O'!H20</f>
        <v>-52304.32000000001</v>
      </c>
    </row>
    <row r="25" spans="1:7" ht="12.75">
      <c r="A25" t="s">
        <v>98</v>
      </c>
      <c r="G25" s="55">
        <f>SUM(G23:G24)</f>
        <v>-42384.79999999999</v>
      </c>
    </row>
    <row r="26" spans="1:10" ht="12.75">
      <c r="A26" s="4"/>
      <c r="B26" s="4"/>
      <c r="C26" s="56"/>
      <c r="D26" s="4"/>
      <c r="E26" s="4"/>
      <c r="F26" s="4"/>
      <c r="G26" s="56"/>
      <c r="H26" s="4"/>
      <c r="I26" s="4"/>
      <c r="J26" s="4"/>
    </row>
    <row r="28" ht="12.75">
      <c r="A28" s="6" t="s">
        <v>97</v>
      </c>
    </row>
    <row r="29" spans="1:5" ht="18">
      <c r="A29" s="1"/>
      <c r="D29" t="s">
        <v>74</v>
      </c>
      <c r="E29" s="55">
        <v>14888</v>
      </c>
    </row>
    <row r="30" spans="4:5" ht="12.75">
      <c r="D30" s="21" t="s">
        <v>90</v>
      </c>
      <c r="E30" s="57">
        <v>19000</v>
      </c>
    </row>
    <row r="31" ht="12.75">
      <c r="A31" s="6" t="s">
        <v>71</v>
      </c>
    </row>
    <row r="32" spans="3:7" ht="12.75">
      <c r="C32" s="55" t="s">
        <v>59</v>
      </c>
      <c r="E32" t="s">
        <v>73</v>
      </c>
      <c r="G32" s="55" t="s">
        <v>60</v>
      </c>
    </row>
    <row r="33" spans="1:7" ht="12.75">
      <c r="A33" t="s">
        <v>57</v>
      </c>
      <c r="C33" s="55">
        <f>$E$4-3200</f>
        <v>11688</v>
      </c>
      <c r="E33">
        <v>26</v>
      </c>
      <c r="G33" s="55">
        <f>C33*E33</f>
        <v>303888</v>
      </c>
    </row>
    <row r="34" spans="1:7" ht="12.75">
      <c r="A34" t="s">
        <v>58</v>
      </c>
      <c r="C34" s="55">
        <f>$E$5-3200</f>
        <v>14800</v>
      </c>
      <c r="E34">
        <v>10</v>
      </c>
      <c r="G34" s="55">
        <f>C34*E34</f>
        <v>148000</v>
      </c>
    </row>
    <row r="35" spans="1:7" ht="12.75">
      <c r="A35" s="4" t="s">
        <v>61</v>
      </c>
      <c r="B35" s="4"/>
      <c r="C35" s="56">
        <v>180</v>
      </c>
      <c r="D35" s="4" t="s">
        <v>68</v>
      </c>
      <c r="E35" s="4">
        <v>60</v>
      </c>
      <c r="F35" s="4"/>
      <c r="G35" s="56">
        <f>180*E35*12</f>
        <v>129600</v>
      </c>
    </row>
    <row r="36" spans="1:8" ht="12.75">
      <c r="A36" s="21" t="s">
        <v>62</v>
      </c>
      <c r="B36" s="21"/>
      <c r="C36" s="57"/>
      <c r="D36" s="21"/>
      <c r="E36" s="21"/>
      <c r="F36" s="21"/>
      <c r="G36" s="57">
        <f>SUM(G33:G35)</f>
        <v>581488</v>
      </c>
      <c r="H36" s="21"/>
    </row>
    <row r="38" ht="12.75">
      <c r="A38" s="6" t="s">
        <v>63</v>
      </c>
    </row>
    <row r="39" ht="12.75">
      <c r="E39" t="s">
        <v>73</v>
      </c>
    </row>
    <row r="40" spans="1:8" ht="12.75">
      <c r="A40" t="s">
        <v>65</v>
      </c>
      <c r="C40" s="55">
        <v>215</v>
      </c>
      <c r="D40" t="s">
        <v>68</v>
      </c>
      <c r="E40">
        <v>36</v>
      </c>
      <c r="G40" s="55">
        <f>C40*E40*12*0.8</f>
        <v>74304</v>
      </c>
      <c r="H40" t="s">
        <v>64</v>
      </c>
    </row>
    <row r="41" spans="1:8" ht="12.75">
      <c r="A41" t="s">
        <v>66</v>
      </c>
      <c r="C41" s="55">
        <v>375</v>
      </c>
      <c r="D41" t="s">
        <v>68</v>
      </c>
      <c r="E41">
        <v>24</v>
      </c>
      <c r="G41" s="55">
        <f>C41*E41*12*0.8</f>
        <v>86400</v>
      </c>
      <c r="H41" t="s">
        <v>64</v>
      </c>
    </row>
    <row r="42" spans="1:7" ht="12.75">
      <c r="A42" t="s">
        <v>74</v>
      </c>
      <c r="C42" s="55">
        <v>0</v>
      </c>
      <c r="D42" t="s">
        <v>69</v>
      </c>
      <c r="E42">
        <v>26</v>
      </c>
      <c r="G42" s="55">
        <f>C42*E42</f>
        <v>0</v>
      </c>
    </row>
    <row r="43" spans="1:7" ht="12.75">
      <c r="A43" t="s">
        <v>58</v>
      </c>
      <c r="C43" s="55">
        <v>0</v>
      </c>
      <c r="D43" t="s">
        <v>69</v>
      </c>
      <c r="E43">
        <v>10</v>
      </c>
      <c r="G43" s="55">
        <f>C43*E43</f>
        <v>0</v>
      </c>
    </row>
    <row r="44" spans="1:8" ht="12.75">
      <c r="A44" s="4" t="s">
        <v>67</v>
      </c>
      <c r="B44" s="4"/>
      <c r="C44" s="56">
        <v>600</v>
      </c>
      <c r="D44" s="4" t="s">
        <v>68</v>
      </c>
      <c r="E44" s="4">
        <v>26</v>
      </c>
      <c r="F44" s="4"/>
      <c r="G44" s="56">
        <f>C44*E44*12*0.8</f>
        <v>149760</v>
      </c>
      <c r="H44" t="s">
        <v>64</v>
      </c>
    </row>
    <row r="45" spans="1:8" ht="12.75">
      <c r="A45" s="21" t="s">
        <v>62</v>
      </c>
      <c r="B45" s="21"/>
      <c r="C45" s="57"/>
      <c r="D45" s="21"/>
      <c r="E45" s="21"/>
      <c r="F45" s="21"/>
      <c r="G45" s="57">
        <f>SUM(G40:G44)</f>
        <v>310464</v>
      </c>
      <c r="H45" s="21"/>
    </row>
    <row r="48" spans="1:7" ht="12.75">
      <c r="A48" t="s">
        <v>91</v>
      </c>
      <c r="G48" s="55">
        <f>G36-Services!H62</f>
        <v>581488</v>
      </c>
    </row>
    <row r="49" spans="1:7" ht="12.75">
      <c r="A49" t="s">
        <v>92</v>
      </c>
      <c r="G49" s="55">
        <f>G45-'M&amp;O'!H46</f>
        <v>310464</v>
      </c>
    </row>
    <row r="50" spans="1:7" ht="12.75">
      <c r="A50" t="s">
        <v>98</v>
      </c>
      <c r="G50" s="55">
        <f>SUM(G48:G49)</f>
        <v>891952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13" sqref="A13"/>
    </sheetView>
  </sheetViews>
  <sheetFormatPr defaultColWidth="9.140625" defaultRowHeight="12.75"/>
  <cols>
    <col min="1" max="1" width="19.7109375" style="0" bestFit="1" customWidth="1"/>
  </cols>
  <sheetData>
    <row r="3" ht="12.75">
      <c r="A3" t="s">
        <v>81</v>
      </c>
    </row>
    <row r="6" ht="12.75">
      <c r="A6" s="62" t="s">
        <v>86</v>
      </c>
    </row>
    <row r="7" spans="1:4" ht="12.75">
      <c r="A7" t="s">
        <v>83</v>
      </c>
      <c r="B7">
        <v>0.5</v>
      </c>
      <c r="C7">
        <v>80000</v>
      </c>
      <c r="D7">
        <f>C7*B7</f>
        <v>40000</v>
      </c>
    </row>
    <row r="8" spans="1:4" ht="12.75">
      <c r="A8" t="s">
        <v>84</v>
      </c>
      <c r="B8">
        <v>0.15</v>
      </c>
      <c r="C8">
        <v>125000</v>
      </c>
      <c r="D8">
        <f>C8*B8</f>
        <v>18750</v>
      </c>
    </row>
    <row r="9" ht="12.75">
      <c r="D9">
        <f>SUM(D7:D8)</f>
        <v>58750</v>
      </c>
    </row>
    <row r="12" ht="12.75">
      <c r="A12" s="62" t="s">
        <v>87</v>
      </c>
    </row>
    <row r="13" spans="1:4" ht="12.75">
      <c r="A13" t="s">
        <v>85</v>
      </c>
      <c r="B13">
        <v>1</v>
      </c>
      <c r="C13">
        <v>40000</v>
      </c>
      <c r="D13">
        <f>C13*B13</f>
        <v>40000</v>
      </c>
    </row>
    <row r="14" spans="1:4" ht="12.75">
      <c r="A14" t="s">
        <v>11</v>
      </c>
      <c r="B14">
        <v>0.5</v>
      </c>
      <c r="C14">
        <v>50000</v>
      </c>
      <c r="D14">
        <f>C14*B14</f>
        <v>25000</v>
      </c>
    </row>
    <row r="15" ht="12.75">
      <c r="D15">
        <f>SUM(D13:D14)</f>
        <v>65000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 for Supportive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Cho</dc:creator>
  <cp:keywords/>
  <dc:description/>
  <cp:lastModifiedBy>Richard Cho</cp:lastModifiedBy>
  <cp:lastPrinted>2008-03-10T18:45:31Z</cp:lastPrinted>
  <dcterms:created xsi:type="dcterms:W3CDTF">2008-03-05T19:56:25Z</dcterms:created>
  <dcterms:modified xsi:type="dcterms:W3CDTF">2008-03-13T21:02:28Z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